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20616" windowHeight="11640" tabRatio="868" activeTab="0"/>
  </bookViews>
  <sheets>
    <sheet name="Risk_Calculations" sheetId="1" r:id="rId1"/>
    <sheet name="PEF Construction Scenario" sheetId="2" r:id="rId2"/>
    <sheet name="PEF Off-Site Resident" sheetId="3" r:id="rId3"/>
    <sheet name="PEF Comm-Indust Worker" sheetId="4" r:id="rId4"/>
    <sheet name="PEF Onsite Resident" sheetId="5" r:id="rId5"/>
    <sheet name="QC Equation Constants" sheetId="6" r:id="rId6"/>
    <sheet name="Data and Analytical Sensitivity" sheetId="7" r:id="rId7"/>
    <sheet name="BCL Asbestos" sheetId="8" r:id="rId8"/>
  </sheets>
  <definedNames>
    <definedName name="_xlnm.Print_Area" localSheetId="1">'PEF Construction Scenario'!$A$2:$D$95</definedName>
    <definedName name="_xlnm.Print_Area" localSheetId="4">'PEF Onsite Resident'!$A$1:$D$28</definedName>
    <definedName name="_xlnm.Print_Area" localSheetId="0">'Risk_Calculations'!$A$13:$L$24</definedName>
    <definedName name="_xlnm.Print_Titles" localSheetId="1">'PEF Construction Scenario'!$2:$2</definedName>
  </definedNames>
  <calcPr fullCalcOnLoad="1"/>
</workbook>
</file>

<file path=xl/comments2.xml><?xml version="1.0" encoding="utf-8"?>
<comments xmlns="http://schemas.openxmlformats.org/spreadsheetml/2006/main">
  <authors>
    <author>Author</author>
  </authors>
  <commentList>
    <comment ref="D38" authorId="0">
      <text>
        <r>
          <rPr>
            <b/>
            <sz val="8"/>
            <rFont val="Tahoma"/>
            <family val="2"/>
          </rPr>
          <t>Author:</t>
        </r>
        <r>
          <rPr>
            <sz val="8"/>
            <rFont val="Tahoma"/>
            <family val="2"/>
          </rPr>
          <t xml:space="preserve">
The 'Particulate Matter Case Example' on pages E-26 through E-29 of EPA (2002) clarifiies that this time period reflects the amount of time during which activities will occur (only when construction workers are present) for Equation E-18 (PEF_sc_road) and Equation E-25 (J'_T).</t>
        </r>
      </text>
    </comment>
    <comment ref="D47" authorId="0">
      <text>
        <r>
          <rPr>
            <b/>
            <sz val="8"/>
            <rFont val="Tahoma"/>
            <family val="2"/>
          </rPr>
          <t>Author:</t>
        </r>
        <r>
          <rPr>
            <sz val="8"/>
            <rFont val="Tahoma"/>
            <family val="2"/>
          </rPr>
          <t xml:space="preserve">
Equation E-16 for F_D is solved in the 'Particulate Matter Case Example' on pages E-26 through E-29 of EPA (2002) to show that this time period is the overall length of time during which construction occurs.</t>
        </r>
      </text>
    </comment>
    <comment ref="D46" authorId="0">
      <text>
        <r>
          <rPr>
            <b/>
            <sz val="8"/>
            <rFont val="Tahoma"/>
            <family val="2"/>
          </rPr>
          <t>Author:</t>
        </r>
        <r>
          <rPr>
            <sz val="8"/>
            <rFont val="Tahoma"/>
            <family val="2"/>
          </rPr>
          <t xml:space="preserve">
see comment for cell D43</t>
        </r>
      </text>
    </comment>
  </commentList>
</comments>
</file>

<file path=xl/comments3.xml><?xml version="1.0" encoding="utf-8"?>
<comments xmlns="http://schemas.openxmlformats.org/spreadsheetml/2006/main">
  <authors>
    <author>Author</author>
  </authors>
  <commentList>
    <comment ref="G10" authorId="0">
      <text>
        <r>
          <rPr>
            <b/>
            <sz val="8"/>
            <rFont val="Tahoma"/>
            <family val="2"/>
          </rPr>
          <t>Author:</t>
        </r>
        <r>
          <rPr>
            <sz val="8"/>
            <rFont val="Tahoma"/>
            <family val="2"/>
          </rPr>
          <t xml:space="preserve">
The equation reflects a total residential exposure duration, of which some part is related to the construction period.</t>
        </r>
      </text>
    </comment>
  </commentList>
</comments>
</file>

<file path=xl/comments8.xml><?xml version="1.0" encoding="utf-8"?>
<comments xmlns="http://schemas.openxmlformats.org/spreadsheetml/2006/main">
  <authors>
    <author>Author</author>
  </authors>
  <commentList>
    <comment ref="A15" authorId="0">
      <text>
        <r>
          <rPr>
            <b/>
            <sz val="8"/>
            <rFont val="Tahoma"/>
            <family val="2"/>
          </rPr>
          <t>Author:</t>
        </r>
        <r>
          <rPr>
            <sz val="8"/>
            <rFont val="Tahoma"/>
            <family val="2"/>
          </rPr>
          <t xml:space="preserve">
what is this?  Doesn't seem to be used.</t>
        </r>
      </text>
    </comment>
  </commentList>
</comments>
</file>

<file path=xl/sharedStrings.xml><?xml version="1.0" encoding="utf-8"?>
<sst xmlns="http://schemas.openxmlformats.org/spreadsheetml/2006/main" count="839" uniqueCount="453">
  <si>
    <t>Enter site-specific data into this worksheet by replacing rows 13 through 36, and</t>
  </si>
  <si>
    <t xml:space="preserve">adjusting the formulas in the calculations of Analytical Sensitivity and Numbers of fibers </t>
  </si>
  <si>
    <t>Sample</t>
  </si>
  <si>
    <t>Number of Amphibole fibers</t>
  </si>
  <si>
    <t>CALCULATION FOR POOLED ANALYTICAL SENSITIVITY</t>
  </si>
  <si>
    <r>
      <t xml:space="preserve">After Table 8-2: Esimated Additional Deaths from Lung Cancer or Mesothelioma per 100,000 persons from constant lifetime exposure to 0.0001 TEM f/cc longer than 10 um and thinner than 0.4 um - Based on </t>
    </r>
    <r>
      <rPr>
        <b/>
        <i/>
        <sz val="11"/>
        <color indexed="8"/>
        <rFont val="Calibri"/>
        <family val="2"/>
      </rPr>
      <t>OPTIMUM</t>
    </r>
    <r>
      <rPr>
        <i/>
        <sz val="11"/>
        <color indexed="8"/>
        <rFont val="Calibri"/>
        <family val="2"/>
      </rPr>
      <t xml:space="preserve"> Risk Coefficients (Berman and Crump, 2003)</t>
    </r>
  </si>
  <si>
    <t>Inputs for AT, EF, ED, and ET are in worksheet 'Risk_Calculations'.</t>
  </si>
  <si>
    <t>PEF values are referenced to worksheet 'Risk_Calculations'.</t>
  </si>
  <si>
    <t>This is a planning worksheet to determine the number of asbestos samples needed to reach prescribed risk target levels.</t>
  </si>
  <si>
    <t>Sample specific analytical sensitivity is input in Cell A40.  It is assumed that the same AS applies to each sample.</t>
  </si>
  <si>
    <r>
      <t>VKT</t>
    </r>
    <r>
      <rPr>
        <vertAlign val="subscript"/>
        <sz val="10"/>
        <rFont val="Times New Roman"/>
        <family val="1"/>
      </rPr>
      <t>road</t>
    </r>
  </si>
  <si>
    <r>
      <t>Subchronic Dispersion Factor for road segment</t>
    </r>
    <r>
      <rPr>
        <b/>
        <vertAlign val="superscript"/>
        <sz val="10"/>
        <rFont val="Times New Roman"/>
        <family val="1"/>
      </rPr>
      <t>(22)</t>
    </r>
  </si>
  <si>
    <r>
      <t>Q/C</t>
    </r>
    <r>
      <rPr>
        <vertAlign val="subscript"/>
        <sz val="10"/>
        <rFont val="Times New Roman"/>
        <family val="1"/>
      </rPr>
      <t>sr</t>
    </r>
  </si>
  <si>
    <r>
      <t>Subchronic PEF for Unpaved Road Traffic</t>
    </r>
    <r>
      <rPr>
        <b/>
        <vertAlign val="superscript"/>
        <sz val="10"/>
        <rFont val="Times New Roman"/>
        <family val="1"/>
      </rPr>
      <t>(23)</t>
    </r>
  </si>
  <si>
    <r>
      <t>PEF</t>
    </r>
    <r>
      <rPr>
        <b/>
        <vertAlign val="subscript"/>
        <sz val="10"/>
        <rFont val="Times New Roman"/>
        <family val="1"/>
      </rPr>
      <t>sc_road</t>
    </r>
  </si>
  <si>
    <r>
      <t>Indoor Exposure Time (Et</t>
    </r>
    <r>
      <rPr>
        <vertAlign val="subscript"/>
        <sz val="11"/>
        <color indexed="8"/>
        <rFont val="Calibri"/>
        <family val="2"/>
      </rPr>
      <t>in</t>
    </r>
    <r>
      <rPr>
        <sz val="11"/>
        <color indexed="8"/>
        <rFont val="Calibri"/>
        <family val="2"/>
      </rPr>
      <t>)</t>
    </r>
  </si>
  <si>
    <r>
      <t>Outdoor Exposure Time (Et</t>
    </r>
    <r>
      <rPr>
        <vertAlign val="subscript"/>
        <sz val="11"/>
        <color indexed="8"/>
        <rFont val="Calibri"/>
        <family val="2"/>
      </rPr>
      <t>out</t>
    </r>
    <r>
      <rPr>
        <sz val="11"/>
        <color indexed="8"/>
        <rFont val="Calibri"/>
        <family val="2"/>
      </rPr>
      <t>)</t>
    </r>
  </si>
  <si>
    <t>ED:  USEPA (2002), Exhibits 1-2 (Industrial-Commercial and On-Site Residenti) and 5-1 (Construction and Off-Site Resident).</t>
  </si>
  <si>
    <t>AT:  USEPA (2002), Exhibits 1-2 (Industrial-Commercial and On-Site Residenti) and 5-1 (Construction and Off-Site Resident).</t>
  </si>
  <si>
    <r>
      <t>10</t>
    </r>
    <r>
      <rPr>
        <vertAlign val="superscript"/>
        <sz val="11"/>
        <color indexed="8"/>
        <rFont val="Calibri"/>
        <family val="2"/>
      </rPr>
      <t>6</t>
    </r>
    <r>
      <rPr>
        <sz val="11"/>
        <color indexed="8"/>
        <rFont val="Calibri"/>
        <family val="2"/>
      </rPr>
      <t xml:space="preserve"> f/g PM10</t>
    </r>
  </si>
  <si>
    <r>
      <t>m</t>
    </r>
    <r>
      <rPr>
        <vertAlign val="superscript"/>
        <sz val="11"/>
        <rFont val="Calibri"/>
        <family val="2"/>
      </rPr>
      <t>3</t>
    </r>
    <r>
      <rPr>
        <sz val="11"/>
        <rFont val="Calibri"/>
        <family val="2"/>
      </rPr>
      <t>/kg</t>
    </r>
  </si>
  <si>
    <r>
      <t>cm</t>
    </r>
    <r>
      <rPr>
        <vertAlign val="superscript"/>
        <sz val="11"/>
        <rFont val="Calibri"/>
        <family val="2"/>
      </rPr>
      <t>3</t>
    </r>
    <r>
      <rPr>
        <sz val="11"/>
        <rFont val="Calibri"/>
        <family val="2"/>
      </rPr>
      <t>/µg</t>
    </r>
  </si>
  <si>
    <r>
      <t>C</t>
    </r>
    <r>
      <rPr>
        <vertAlign val="subscript"/>
        <sz val="11"/>
        <color indexed="8"/>
        <rFont val="Calibri"/>
        <family val="2"/>
      </rPr>
      <t>soil</t>
    </r>
    <r>
      <rPr>
        <sz val="11"/>
        <color indexed="8"/>
        <rFont val="Calibri"/>
        <family val="2"/>
      </rPr>
      <t xml:space="preserve"> (best estimate)</t>
    </r>
  </si>
  <si>
    <r>
      <t>C</t>
    </r>
    <r>
      <rPr>
        <vertAlign val="subscript"/>
        <sz val="11"/>
        <color indexed="8"/>
        <rFont val="Calibri"/>
        <family val="2"/>
      </rPr>
      <t>soil</t>
    </r>
    <r>
      <rPr>
        <sz val="11"/>
        <color indexed="8"/>
        <rFont val="Calibri"/>
        <family val="2"/>
      </rPr>
      <t xml:space="preserve"> 95% UCL (upper bound)</t>
    </r>
  </si>
  <si>
    <r>
      <t>Areal Extent of site surface contamination</t>
    </r>
    <r>
      <rPr>
        <vertAlign val="superscript"/>
        <sz val="11"/>
        <rFont val="Calibri"/>
        <family val="2"/>
      </rPr>
      <t>(3)</t>
    </r>
  </si>
  <si>
    <r>
      <t>A</t>
    </r>
    <r>
      <rPr>
        <vertAlign val="subscript"/>
        <sz val="11"/>
        <rFont val="Calibri"/>
        <family val="2"/>
      </rPr>
      <t>surf</t>
    </r>
  </si>
  <si>
    <t>Input for Area is in worksheet 'Risk_Calculations'.</t>
  </si>
  <si>
    <t>Input for Area is in worksheet 'Risk_Calculations'.</t>
  </si>
  <si>
    <t>Offsite Residents scenario</t>
  </si>
  <si>
    <t>Commercial-Industrial and Onsite Residents scenarios</t>
  </si>
  <si>
    <t>For planning purposes it is reasonable to assume each sample has the same AS, in which case this simplification applies and is used directly in the minimum sample size calculations above.</t>
  </si>
  <si>
    <t xml:space="preserve">Note that the Pooled Analytical Sensitivity (pooled AS) formula, as depicted in Cell I6 in the Analytical Sensitivity Worksheet, reduces to sample AS/n when Analytical Sensitivity is the same for each sample.  </t>
  </si>
  <si>
    <t>Pooled Analytical Sensitivity</t>
  </si>
  <si>
    <t>A</t>
  </si>
  <si>
    <t>B</t>
  </si>
  <si>
    <t>C</t>
  </si>
  <si>
    <t>Units</t>
  </si>
  <si>
    <t>Parameter</t>
  </si>
  <si>
    <t>Value</t>
  </si>
  <si>
    <t>T</t>
  </si>
  <si>
    <t xml:space="preserve">Abbrev. </t>
  </si>
  <si>
    <t>Wind Erosion and Construction Activities</t>
  </si>
  <si>
    <r>
      <t>Fugitive dust from wind erosion</t>
    </r>
    <r>
      <rPr>
        <b/>
        <vertAlign val="superscript"/>
        <sz val="10"/>
        <rFont val="Times New Roman"/>
        <family val="1"/>
      </rPr>
      <t>(1)</t>
    </r>
  </si>
  <si>
    <r>
      <t>M</t>
    </r>
    <r>
      <rPr>
        <vertAlign val="subscript"/>
        <sz val="10"/>
        <rFont val="Times New Roman"/>
        <family val="1"/>
      </rPr>
      <t>wind</t>
    </r>
  </si>
  <si>
    <t>g</t>
  </si>
  <si>
    <t>Length of dozer blade</t>
  </si>
  <si>
    <r>
      <t>B</t>
    </r>
    <r>
      <rPr>
        <vertAlign val="subscript"/>
        <sz val="10"/>
        <rFont val="Times New Roman"/>
        <family val="1"/>
      </rPr>
      <t>d</t>
    </r>
  </si>
  <si>
    <r>
      <t>N</t>
    </r>
    <r>
      <rPr>
        <vertAlign val="subscript"/>
        <sz val="10"/>
        <rFont val="Times New Roman"/>
        <family val="1"/>
      </rPr>
      <t>doze</t>
    </r>
  </si>
  <si>
    <t>Weighted Exposure Time (ET)</t>
  </si>
  <si>
    <r>
      <t>Et</t>
    </r>
    <r>
      <rPr>
        <vertAlign val="subscript"/>
        <sz val="11"/>
        <color indexed="8"/>
        <rFont val="Calibri"/>
        <family val="2"/>
      </rPr>
      <t>in</t>
    </r>
    <r>
      <rPr>
        <sz val="11"/>
        <color indexed="8"/>
        <rFont val="Calibri"/>
        <family val="2"/>
      </rPr>
      <t>: USEPA (1997), Exposure Factors Handbook Errata Sheet</t>
    </r>
  </si>
  <si>
    <r>
      <t>(f/cm</t>
    </r>
    <r>
      <rPr>
        <vertAlign val="superscript"/>
        <sz val="11"/>
        <color indexed="8"/>
        <rFont val="Calibri"/>
        <family val="2"/>
      </rPr>
      <t>3</t>
    </r>
    <r>
      <rPr>
        <sz val="11"/>
        <color indexed="8"/>
        <rFont val="Calibri"/>
        <family val="2"/>
      </rPr>
      <t>)</t>
    </r>
    <r>
      <rPr>
        <vertAlign val="superscript"/>
        <sz val="11"/>
        <color indexed="8"/>
        <rFont val="Calibri"/>
        <family val="2"/>
      </rPr>
      <t>-1</t>
    </r>
  </si>
  <si>
    <t>Outdoor Worker</t>
  </si>
  <si>
    <t>Indoor Worker</t>
  </si>
  <si>
    <t>AMPHIBOLE</t>
  </si>
  <si>
    <t>These are the only fibers needed for the risk assessment.</t>
  </si>
  <si>
    <t>Number of Chrysotile fibers</t>
  </si>
  <si>
    <t>%</t>
  </si>
  <si>
    <r>
      <t>Areal extent of site excavation</t>
    </r>
    <r>
      <rPr>
        <vertAlign val="superscript"/>
        <sz val="11.5"/>
        <rFont val="Times New Roman"/>
        <family val="1"/>
      </rPr>
      <t>(9)</t>
    </r>
  </si>
  <si>
    <r>
      <t>A</t>
    </r>
    <r>
      <rPr>
        <vertAlign val="subscript"/>
        <sz val="10"/>
        <rFont val="Times New Roman"/>
        <family val="1"/>
      </rPr>
      <t>excav</t>
    </r>
  </si>
  <si>
    <r>
      <t>d</t>
    </r>
    <r>
      <rPr>
        <vertAlign val="subscript"/>
        <sz val="10"/>
        <rFont val="Times New Roman"/>
        <family val="1"/>
      </rPr>
      <t>excav</t>
    </r>
  </si>
  <si>
    <t>m</t>
  </si>
  <si>
    <r>
      <t>Number of times soil is dumped</t>
    </r>
    <r>
      <rPr>
        <vertAlign val="superscript"/>
        <sz val="11.5"/>
        <rFont val="Times New Roman"/>
        <family val="1"/>
      </rPr>
      <t>(2)</t>
    </r>
  </si>
  <si>
    <r>
      <t>N</t>
    </r>
    <r>
      <rPr>
        <vertAlign val="subscript"/>
        <sz val="10"/>
        <rFont val="Times New Roman"/>
        <family val="1"/>
      </rPr>
      <t>A</t>
    </r>
  </si>
  <si>
    <r>
      <t>Fugitive dust from dozing</t>
    </r>
    <r>
      <rPr>
        <b/>
        <vertAlign val="superscript"/>
        <sz val="10"/>
        <rFont val="Times New Roman"/>
        <family val="1"/>
      </rPr>
      <t>(10)</t>
    </r>
  </si>
  <si>
    <r>
      <t>M</t>
    </r>
    <r>
      <rPr>
        <vertAlign val="subscript"/>
        <sz val="10"/>
        <rFont val="Times New Roman"/>
        <family val="1"/>
      </rPr>
      <t>doz</t>
    </r>
  </si>
  <si>
    <t>s</t>
  </si>
  <si>
    <r>
      <t>S</t>
    </r>
    <r>
      <rPr>
        <vertAlign val="subscript"/>
        <sz val="10"/>
        <rFont val="Times New Roman"/>
        <family val="1"/>
      </rPr>
      <t>doz</t>
    </r>
  </si>
  <si>
    <t>km/hr</t>
  </si>
  <si>
    <r>
      <t>Sum dozing kilometers traveled</t>
    </r>
    <r>
      <rPr>
        <vertAlign val="superscript"/>
        <sz val="10"/>
        <rFont val="Times New Roman"/>
        <family val="1"/>
      </rPr>
      <t>(11)</t>
    </r>
  </si>
  <si>
    <r>
      <t>VKT</t>
    </r>
    <r>
      <rPr>
        <vertAlign val="subscript"/>
        <sz val="10"/>
        <rFont val="Times New Roman"/>
        <family val="1"/>
      </rPr>
      <t>doz</t>
    </r>
  </si>
  <si>
    <t>km</t>
  </si>
  <si>
    <r>
      <t>Fugitive dust from grading</t>
    </r>
    <r>
      <rPr>
        <b/>
        <vertAlign val="superscript"/>
        <sz val="10"/>
        <rFont val="Times New Roman"/>
        <family val="1"/>
      </rPr>
      <t>(12)</t>
    </r>
  </si>
  <si>
    <r>
      <t>M</t>
    </r>
    <r>
      <rPr>
        <vertAlign val="subscript"/>
        <sz val="10"/>
        <rFont val="Times New Roman"/>
        <family val="1"/>
      </rPr>
      <t>grade</t>
    </r>
  </si>
  <si>
    <r>
      <t>S</t>
    </r>
    <r>
      <rPr>
        <vertAlign val="subscript"/>
        <sz val="10"/>
        <rFont val="Times New Roman"/>
        <family val="1"/>
      </rPr>
      <t>grade</t>
    </r>
  </si>
  <si>
    <r>
      <t>VKT</t>
    </r>
    <r>
      <rPr>
        <vertAlign val="subscript"/>
        <sz val="10"/>
        <rFont val="Times New Roman"/>
        <family val="1"/>
      </rPr>
      <t>grade</t>
    </r>
  </si>
  <si>
    <r>
      <t>Fugitive dust from tilling</t>
    </r>
    <r>
      <rPr>
        <b/>
        <vertAlign val="superscript"/>
        <sz val="10"/>
        <rFont val="Times New Roman"/>
        <family val="1"/>
      </rPr>
      <t>(13)</t>
    </r>
  </si>
  <si>
    <r>
      <t>M</t>
    </r>
    <r>
      <rPr>
        <vertAlign val="subscript"/>
        <sz val="10"/>
        <rFont val="Times New Roman"/>
        <family val="1"/>
      </rPr>
      <t>till</t>
    </r>
  </si>
  <si>
    <r>
      <t>Areal extent of site tilling</t>
    </r>
    <r>
      <rPr>
        <vertAlign val="superscript"/>
        <sz val="10"/>
        <rFont val="Times New Roman"/>
        <family val="1"/>
      </rPr>
      <t>(9)</t>
    </r>
  </si>
  <si>
    <r>
      <t>A</t>
    </r>
    <r>
      <rPr>
        <vertAlign val="subscript"/>
        <sz val="10"/>
        <rFont val="Times New Roman"/>
        <family val="1"/>
      </rPr>
      <t>till</t>
    </r>
  </si>
  <si>
    <t>acre</t>
  </si>
  <si>
    <t>Adjustment factors (for information only) are referenced to worksheet 'Risk_Calculations'.</t>
  </si>
  <si>
    <r>
      <t xml:space="preserve">1 </t>
    </r>
    <r>
      <rPr>
        <sz val="9"/>
        <color indexed="8"/>
        <rFont val="Calibri"/>
        <family val="2"/>
      </rPr>
      <t>Inverse of the one-tailed probability of the chi-squared distribution. If probability = CHIDIST(x,...), then CHIINV(probability,...) = x.</t>
    </r>
  </si>
  <si>
    <t>Input for ED is in worksheet 'Risk_Calculations'.</t>
  </si>
  <si>
    <t>Inputs for ED are in worksheet 'Risk_Calculations'.</t>
  </si>
  <si>
    <t xml:space="preserve">Number of </t>
  </si>
  <si>
    <t xml:space="preserve">Dimensions of </t>
  </si>
  <si>
    <t>Chrysotile Fibers</t>
  </si>
  <si>
    <t>Amphibole Fibers</t>
  </si>
  <si>
    <t>AmphiboleFibers</t>
  </si>
  <si>
    <r>
      <t>m</t>
    </r>
    <r>
      <rPr>
        <b/>
        <vertAlign val="superscript"/>
        <sz val="10"/>
        <rFont val="Times New Roman"/>
        <family val="1"/>
      </rPr>
      <t>3</t>
    </r>
    <r>
      <rPr>
        <b/>
        <sz val="10"/>
        <rFont val="Times New Roman"/>
        <family val="1"/>
      </rPr>
      <t>/kg</t>
    </r>
  </si>
  <si>
    <t>Unpaved Road Traffic</t>
  </si>
  <si>
    <r>
      <t>Length of road segment</t>
    </r>
    <r>
      <rPr>
        <vertAlign val="superscript"/>
        <sz val="10"/>
        <rFont val="Times New Roman"/>
        <family val="1"/>
      </rPr>
      <t>(18)</t>
    </r>
  </si>
  <si>
    <r>
      <t>L</t>
    </r>
    <r>
      <rPr>
        <vertAlign val="subscript"/>
        <sz val="10"/>
        <rFont val="Times New Roman"/>
        <family val="1"/>
      </rPr>
      <t>R</t>
    </r>
  </si>
  <si>
    <r>
      <t>Width of road segment</t>
    </r>
    <r>
      <rPr>
        <vertAlign val="superscript"/>
        <sz val="10"/>
        <rFont val="Times New Roman"/>
        <family val="1"/>
      </rPr>
      <t>(2)</t>
    </r>
  </si>
  <si>
    <r>
      <t>W</t>
    </r>
    <r>
      <rPr>
        <vertAlign val="subscript"/>
        <sz val="10"/>
        <rFont val="Times New Roman"/>
        <family val="1"/>
      </rPr>
      <t>R</t>
    </r>
  </si>
  <si>
    <r>
      <t>A</t>
    </r>
    <r>
      <rPr>
        <vertAlign val="subscript"/>
        <sz val="10"/>
        <rFont val="Times New Roman"/>
        <family val="1"/>
      </rPr>
      <t>R</t>
    </r>
  </si>
  <si>
    <r>
      <t>Mean vehicle weight</t>
    </r>
    <r>
      <rPr>
        <vertAlign val="superscript"/>
        <sz val="10"/>
        <rFont val="Times New Roman"/>
        <family val="1"/>
      </rPr>
      <t>(2)</t>
    </r>
  </si>
  <si>
    <t>W</t>
  </si>
  <si>
    <t>tons</t>
  </si>
  <si>
    <r>
      <t>Percent moisture in dry road surface</t>
    </r>
    <r>
      <rPr>
        <vertAlign val="superscript"/>
        <sz val="10"/>
        <rFont val="Times New Roman"/>
        <family val="1"/>
      </rPr>
      <t>(20)</t>
    </r>
  </si>
  <si>
    <t>p</t>
  </si>
  <si>
    <t>days</t>
  </si>
  <si>
    <r>
      <rPr>
        <b/>
        <sz val="10"/>
        <rFont val="Times New Roman"/>
        <family val="1"/>
      </rPr>
      <t>D</t>
    </r>
    <r>
      <rPr>
        <b/>
        <vertAlign val="subscript"/>
        <sz val="10"/>
        <rFont val="Times New Roman"/>
        <family val="1"/>
      </rPr>
      <t>OFF</t>
    </r>
  </si>
  <si>
    <r>
      <t>D</t>
    </r>
    <r>
      <rPr>
        <b/>
        <vertAlign val="subscript"/>
        <sz val="10"/>
        <rFont val="Times New Roman"/>
        <family val="1"/>
      </rPr>
      <t>worker</t>
    </r>
  </si>
  <si>
    <r>
      <t>D</t>
    </r>
    <r>
      <rPr>
        <b/>
        <vertAlign val="subscript"/>
        <sz val="10"/>
        <rFont val="Times New Roman"/>
        <family val="1"/>
      </rPr>
      <t>construct</t>
    </r>
  </si>
  <si>
    <t>(5) Construction worker ED</t>
  </si>
  <si>
    <t>Office of Solid Waste and Emergency Response, Washington, DC. OSWER 9355.4-24. December.</t>
  </si>
  <si>
    <r>
      <t>Indoor Attenuation Factor (Att</t>
    </r>
    <r>
      <rPr>
        <vertAlign val="subscript"/>
        <sz val="11"/>
        <color indexed="8"/>
        <rFont val="Calibri"/>
        <family val="2"/>
      </rPr>
      <t>in</t>
    </r>
    <r>
      <rPr>
        <sz val="11"/>
        <color indexed="8"/>
        <rFont val="Calibri"/>
        <family val="2"/>
      </rPr>
      <t>)</t>
    </r>
  </si>
  <si>
    <t>hrs/day</t>
  </si>
  <si>
    <r>
      <t>Onsite Residential PEF</t>
    </r>
    <r>
      <rPr>
        <b/>
        <vertAlign val="superscript"/>
        <sz val="10"/>
        <rFont val="Times New Roman"/>
        <family val="1"/>
      </rPr>
      <t>(5)</t>
    </r>
  </si>
  <si>
    <t>ET:  An 8-hour workday is assumed for the occupational scenarios.</t>
  </si>
  <si>
    <t>Duration of construction (time period during which construction activities occur)</t>
  </si>
  <si>
    <r>
      <t>t</t>
    </r>
    <r>
      <rPr>
        <vertAlign val="subscript"/>
        <sz val="10"/>
        <rFont val="Times New Roman"/>
        <family val="1"/>
      </rPr>
      <t>c</t>
    </r>
  </si>
  <si>
    <t>hr</t>
  </si>
  <si>
    <t>Averaging Time (AT)  [70 yr * 365d/yr * 24 hr/d]</t>
  </si>
  <si>
    <t>Number of times area is dozed</t>
  </si>
  <si>
    <t>Number of times area is graded</t>
  </si>
  <si>
    <r>
      <t>N</t>
    </r>
    <r>
      <rPr>
        <vertAlign val="subscript"/>
        <sz val="10"/>
        <rFont val="Times New Roman"/>
        <family val="1"/>
      </rPr>
      <t>grade</t>
    </r>
  </si>
  <si>
    <t>Length of grading blade</t>
  </si>
  <si>
    <r>
      <t>B</t>
    </r>
    <r>
      <rPr>
        <vertAlign val="subscript"/>
        <sz val="10"/>
        <rFont val="Times New Roman"/>
        <family val="1"/>
      </rPr>
      <t>g</t>
    </r>
  </si>
  <si>
    <r>
      <t xml:space="preserve">                                                                                 </t>
    </r>
    <r>
      <rPr>
        <sz val="9.5"/>
        <rFont val="Times New Roman"/>
        <family val="1"/>
      </rPr>
      <t xml:space="preserve"> {[2.6</t>
    </r>
    <r>
      <rPr>
        <sz val="9.5"/>
        <rFont val="Symbol"/>
        <family val="1"/>
      </rPr>
      <t xml:space="preserve"> ´ </t>
    </r>
    <r>
      <rPr>
        <sz val="9.5"/>
        <rFont val="Times New Roman"/>
        <family val="1"/>
      </rPr>
      <t>(s/12)</t>
    </r>
    <r>
      <rPr>
        <vertAlign val="superscript"/>
        <sz val="9.5"/>
        <rFont val="Times New Roman"/>
        <family val="1"/>
      </rPr>
      <t>0.8</t>
    </r>
    <r>
      <rPr>
        <sz val="9.5"/>
        <rFont val="Times New Roman"/>
        <family val="1"/>
      </rPr>
      <t xml:space="preserve"> </t>
    </r>
    <r>
      <rPr>
        <sz val="9.5"/>
        <rFont val="Symbol"/>
        <family val="1"/>
      </rPr>
      <t>´</t>
    </r>
    <r>
      <rPr>
        <sz val="9.5"/>
        <rFont val="Times New Roman"/>
        <family val="1"/>
      </rPr>
      <t xml:space="preserve"> (W/3)</t>
    </r>
    <r>
      <rPr>
        <vertAlign val="superscript"/>
        <sz val="9.5"/>
        <rFont val="Times New Roman"/>
        <family val="1"/>
      </rPr>
      <t>0.4</t>
    </r>
    <r>
      <rPr>
        <sz val="9.5"/>
        <rFont val="Times New Roman"/>
        <family val="1"/>
      </rPr>
      <t>/(M/0.2)</t>
    </r>
    <r>
      <rPr>
        <vertAlign val="superscript"/>
        <sz val="9.5"/>
        <rFont val="Times New Roman"/>
        <family val="1"/>
      </rPr>
      <t>0.3</t>
    </r>
    <r>
      <rPr>
        <sz val="9.5"/>
        <rFont val="Times New Roman"/>
        <family val="1"/>
      </rPr>
      <t xml:space="preserve">] </t>
    </r>
    <r>
      <rPr>
        <sz val="9.5"/>
        <rFont val="Symbol"/>
        <family val="1"/>
      </rPr>
      <t>´</t>
    </r>
    <r>
      <rPr>
        <sz val="9.5"/>
        <rFont val="Times New Roman"/>
        <family val="1"/>
      </rPr>
      <t xml:space="preserve"> [(365-p)/365] </t>
    </r>
    <r>
      <rPr>
        <sz val="9.5"/>
        <rFont val="Symbol"/>
        <family val="1"/>
      </rPr>
      <t>´</t>
    </r>
    <r>
      <rPr>
        <sz val="9.5"/>
        <rFont val="Times New Roman"/>
        <family val="1"/>
      </rPr>
      <t xml:space="preserve"> 281.9 </t>
    </r>
    <r>
      <rPr>
        <sz val="9.5"/>
        <rFont val="Symbol"/>
        <family val="1"/>
      </rPr>
      <t>´</t>
    </r>
    <r>
      <rPr>
        <sz val="9.5"/>
        <rFont val="Times New Roman"/>
        <family val="1"/>
      </rPr>
      <t xml:space="preserve"> </t>
    </r>
    <r>
      <rPr>
        <sz val="9.5"/>
        <rFont val="Arial"/>
        <family val="2"/>
      </rPr>
      <t>∑</t>
    </r>
    <r>
      <rPr>
        <sz val="9.5"/>
        <rFont val="Times New Roman"/>
        <family val="1"/>
      </rPr>
      <t>VKT</t>
    </r>
    <r>
      <rPr>
        <vertAlign val="subscript"/>
        <sz val="9.5"/>
        <rFont val="Times New Roman"/>
        <family val="1"/>
      </rPr>
      <t>road</t>
    </r>
    <r>
      <rPr>
        <sz val="9.5"/>
        <rFont val="Times New Roman"/>
        <family val="1"/>
      </rPr>
      <t>}.</t>
    </r>
  </si>
  <si>
    <r>
      <t>(24) PEF</t>
    </r>
    <r>
      <rPr>
        <vertAlign val="subscript"/>
        <sz val="9.5"/>
        <rFont val="Times New Roman"/>
        <family val="1"/>
      </rPr>
      <t>sc_total</t>
    </r>
    <r>
      <rPr>
        <sz val="9.5"/>
        <rFont val="Times New Roman"/>
        <family val="1"/>
      </rPr>
      <t xml:space="preserve"> = {1/[(1/PEF</t>
    </r>
    <r>
      <rPr>
        <vertAlign val="subscript"/>
        <sz val="9.5"/>
        <rFont val="Times New Roman"/>
        <family val="1"/>
      </rPr>
      <t>sc</t>
    </r>
    <r>
      <rPr>
        <sz val="9.5"/>
        <rFont val="Times New Roman"/>
        <family val="1"/>
      </rPr>
      <t>)+(1/PEF</t>
    </r>
    <r>
      <rPr>
        <vertAlign val="subscript"/>
        <sz val="9.5"/>
        <rFont val="Times New Roman"/>
        <family val="1"/>
      </rPr>
      <t>sc_road</t>
    </r>
    <r>
      <rPr>
        <sz val="9.5"/>
        <rFont val="Times New Roman"/>
        <family val="1"/>
      </rPr>
      <t>)]}.</t>
    </r>
  </si>
  <si>
    <r>
      <t>ED</t>
    </r>
    <r>
      <rPr>
        <vertAlign val="subscript"/>
        <sz val="10"/>
        <rFont val="Times New Roman"/>
        <family val="1"/>
      </rPr>
      <t>OFF</t>
    </r>
  </si>
  <si>
    <r>
      <t>V</t>
    </r>
    <r>
      <rPr>
        <vertAlign val="subscript"/>
        <sz val="10"/>
        <rFont val="Times New Roman"/>
        <family val="1"/>
      </rPr>
      <t>OFF</t>
    </r>
  </si>
  <si>
    <r>
      <t>Air Dispersion Factor for Area Source</t>
    </r>
    <r>
      <rPr>
        <b/>
        <vertAlign val="superscript"/>
        <sz val="10"/>
        <rFont val="Times New Roman"/>
        <family val="1"/>
      </rPr>
      <t>(15)</t>
    </r>
  </si>
  <si>
    <r>
      <t>F</t>
    </r>
    <r>
      <rPr>
        <b/>
        <vertAlign val="subscript"/>
        <sz val="10"/>
        <rFont val="Times New Roman"/>
        <family val="1"/>
      </rPr>
      <t>D</t>
    </r>
  </si>
  <si>
    <r>
      <t>Q/C</t>
    </r>
    <r>
      <rPr>
        <b/>
        <vertAlign val="subscript"/>
        <sz val="10"/>
        <rFont val="Times New Roman"/>
        <family val="1"/>
      </rPr>
      <t>sa</t>
    </r>
  </si>
  <si>
    <r>
      <t>g/m</t>
    </r>
    <r>
      <rPr>
        <b/>
        <vertAlign val="superscript"/>
        <sz val="10"/>
        <rFont val="Times New Roman"/>
        <family val="1"/>
      </rPr>
      <t>2</t>
    </r>
    <r>
      <rPr>
        <b/>
        <sz val="10"/>
        <rFont val="Times New Roman"/>
        <family val="1"/>
      </rPr>
      <t>-sec per kg/m</t>
    </r>
    <r>
      <rPr>
        <b/>
        <vertAlign val="superscript"/>
        <sz val="10"/>
        <rFont val="Times New Roman"/>
        <family val="1"/>
      </rPr>
      <t>3</t>
    </r>
  </si>
  <si>
    <r>
      <t>J'</t>
    </r>
    <r>
      <rPr>
        <b/>
        <vertAlign val="subscript"/>
        <sz val="10"/>
        <rFont val="Times New Roman"/>
        <family val="1"/>
      </rPr>
      <t>T</t>
    </r>
  </si>
  <si>
    <r>
      <t>M</t>
    </r>
    <r>
      <rPr>
        <b/>
        <vertAlign val="subscript"/>
        <sz val="10"/>
        <rFont val="Times New Roman"/>
        <family val="1"/>
      </rPr>
      <t>road</t>
    </r>
  </si>
  <si>
    <r>
      <t>M</t>
    </r>
    <r>
      <rPr>
        <b/>
        <vertAlign val="subscript"/>
        <sz val="10"/>
        <rFont val="Times New Roman"/>
        <family val="1"/>
      </rPr>
      <t>till</t>
    </r>
  </si>
  <si>
    <r>
      <t>M</t>
    </r>
    <r>
      <rPr>
        <b/>
        <vertAlign val="subscript"/>
        <sz val="10"/>
        <rFont val="Times New Roman"/>
        <family val="1"/>
      </rPr>
      <t>grade</t>
    </r>
  </si>
  <si>
    <r>
      <t>M</t>
    </r>
    <r>
      <rPr>
        <b/>
        <vertAlign val="subscript"/>
        <sz val="10"/>
        <rFont val="Times New Roman"/>
        <family val="1"/>
      </rPr>
      <t>doz</t>
    </r>
  </si>
  <si>
    <r>
      <t>M</t>
    </r>
    <r>
      <rPr>
        <b/>
        <vertAlign val="subscript"/>
        <sz val="10"/>
        <rFont val="Times New Roman"/>
        <family val="1"/>
      </rPr>
      <t>excav</t>
    </r>
  </si>
  <si>
    <r>
      <t>M</t>
    </r>
    <r>
      <rPr>
        <b/>
        <vertAlign val="subscript"/>
        <sz val="10"/>
        <rFont val="Times New Roman"/>
        <family val="1"/>
      </rPr>
      <t>wind</t>
    </r>
  </si>
  <si>
    <r>
      <t>M</t>
    </r>
    <r>
      <rPr>
        <b/>
        <vertAlign val="subscript"/>
        <sz val="10"/>
        <rFont val="Times New Roman"/>
        <family val="1"/>
      </rPr>
      <t>windPC</t>
    </r>
  </si>
  <si>
    <r>
      <t>PEF</t>
    </r>
    <r>
      <rPr>
        <b/>
        <vertAlign val="subscript"/>
        <sz val="10"/>
        <rFont val="Times New Roman"/>
        <family val="1"/>
      </rPr>
      <t>OFF</t>
    </r>
  </si>
  <si>
    <t>ESTIMATED AIR CONCENTRATIONS</t>
  </si>
  <si>
    <t>hours</t>
  </si>
  <si>
    <t>Estimated Risk (Total Structures)</t>
  </si>
  <si>
    <t>95% UCL (Total Structures)</t>
  </si>
  <si>
    <t>Disease Endpoint</t>
  </si>
  <si>
    <t>Males</t>
  </si>
  <si>
    <t>Females</t>
  </si>
  <si>
    <t>Non-Smokers</t>
  </si>
  <si>
    <t>Smokers</t>
  </si>
  <si>
    <t>Lung Cancer</t>
  </si>
  <si>
    <t>Mesothelioma</t>
  </si>
  <si>
    <t>CHRYSOTILE</t>
  </si>
  <si>
    <t>AMPHIBOLE</t>
  </si>
  <si>
    <t>R-factor</t>
  </si>
  <si>
    <t>Exposure Frequency (EF)</t>
  </si>
  <si>
    <t>Exposure Duration (ED)</t>
  </si>
  <si>
    <t>Value by Scenario</t>
  </si>
  <si>
    <t>Construction</t>
  </si>
  <si>
    <t>Off-Site Residential</t>
  </si>
  <si>
    <t>Industrial-Commercial Worker</t>
  </si>
  <si>
    <t>Averaging Time (AT)</t>
  </si>
  <si>
    <t>years</t>
  </si>
  <si>
    <t>days/year</t>
  </si>
  <si>
    <t>unitless</t>
  </si>
  <si>
    <t>For example, 172 samples would be needed to achieve no greater than a 10-6 risk if zero amphibole fibers are observed (in total) for the construction worker scenario.</t>
  </si>
  <si>
    <t>Target risk thresholds are input in Row 8 for the 4 different scenarios.  These can be changed site specifically only with concurrence from NDEP.</t>
  </si>
  <si>
    <t>By comparison, only 2 samples would be needed similarly for chrysotile.</t>
  </si>
  <si>
    <t xml:space="preserve">Note that long fibers only are included in this worksheet.  </t>
  </si>
  <si>
    <r>
      <t>M</t>
    </r>
    <r>
      <rPr>
        <vertAlign val="subscript"/>
        <sz val="10"/>
        <rFont val="Times New Roman"/>
        <family val="1"/>
      </rPr>
      <t>excav</t>
    </r>
  </si>
  <si>
    <r>
      <t>r</t>
    </r>
    <r>
      <rPr>
        <vertAlign val="subscript"/>
        <sz val="10"/>
        <rFont val="Times New Roman"/>
        <family val="1"/>
      </rPr>
      <t>soil</t>
    </r>
  </si>
  <si>
    <r>
      <t>Mg/m</t>
    </r>
    <r>
      <rPr>
        <vertAlign val="superscript"/>
        <sz val="10"/>
        <rFont val="Times New Roman"/>
        <family val="1"/>
      </rPr>
      <t>3</t>
    </r>
  </si>
  <si>
    <t>M</t>
  </si>
  <si>
    <t>Casper, WY</t>
  </si>
  <si>
    <t>Charleston, SC</t>
  </si>
  <si>
    <t>Chicago, IL</t>
  </si>
  <si>
    <t>Cleveland, OH</t>
  </si>
  <si>
    <t>Denver, CO</t>
  </si>
  <si>
    <t>Fresno, CA</t>
  </si>
  <si>
    <t>Harrisburg, PA</t>
  </si>
  <si>
    <t>Hartford, CT</t>
  </si>
  <si>
    <t>Houston, TX</t>
  </si>
  <si>
    <t>Huntington, WV</t>
  </si>
  <si>
    <t>Las Vegas, NV</t>
  </si>
  <si>
    <t>Lincoln, NE</t>
  </si>
  <si>
    <t>Little Rock, AR</t>
  </si>
  <si>
    <t>Los Angeles, CA</t>
  </si>
  <si>
    <t>Miami, FL</t>
  </si>
  <si>
    <t>Minneapolis, MN</t>
  </si>
  <si>
    <t>Philadelphia, PA</t>
  </si>
  <si>
    <t>Phoenix, AZ</t>
  </si>
  <si>
    <t>Portland, ME</t>
  </si>
  <si>
    <t>Raleigh, NC</t>
  </si>
  <si>
    <t>Salem, OR</t>
  </si>
  <si>
    <t>Salt Lake City, UT</t>
  </si>
  <si>
    <t>San Francisco, CA</t>
  </si>
  <si>
    <t>Seattle, WA</t>
  </si>
  <si>
    <t>Winnemucca, NV</t>
  </si>
  <si>
    <t>Meteorological Station</t>
  </si>
  <si>
    <r>
      <t>Number of times soil is tilled</t>
    </r>
    <r>
      <rPr>
        <vertAlign val="superscript"/>
        <sz val="10"/>
        <rFont val="Times New Roman"/>
        <family val="1"/>
      </rPr>
      <t>(2)</t>
    </r>
  </si>
  <si>
    <r>
      <t>Total Time Averaged PM</t>
    </r>
    <r>
      <rPr>
        <b/>
        <vertAlign val="subscript"/>
        <sz val="10"/>
        <rFont val="Times New Roman"/>
        <family val="1"/>
      </rPr>
      <t>10</t>
    </r>
    <r>
      <rPr>
        <b/>
        <sz val="10"/>
        <rFont val="Times New Roman"/>
        <family val="1"/>
      </rPr>
      <t xml:space="preserve"> Emission</t>
    </r>
    <r>
      <rPr>
        <b/>
        <vertAlign val="superscript"/>
        <sz val="10"/>
        <rFont val="Times New Roman"/>
        <family val="1"/>
      </rPr>
      <t>(14)</t>
    </r>
  </si>
  <si>
    <t>g/m2-sec</t>
  </si>
  <si>
    <r>
      <t>Duration of construction</t>
    </r>
    <r>
      <rPr>
        <vertAlign val="superscript"/>
        <sz val="10"/>
        <rFont val="Times New Roman"/>
        <family val="1"/>
      </rPr>
      <t>(2)</t>
    </r>
  </si>
  <si>
    <t>sec</t>
  </si>
  <si>
    <r>
      <t>Subchronic Dispersion Factor for Area Source</t>
    </r>
    <r>
      <rPr>
        <b/>
        <vertAlign val="superscript"/>
        <sz val="10"/>
        <rFont val="Times New Roman"/>
        <family val="1"/>
      </rPr>
      <t>(15)</t>
    </r>
  </si>
  <si>
    <r>
      <t>g/m</t>
    </r>
    <r>
      <rPr>
        <vertAlign val="superscript"/>
        <sz val="10"/>
        <rFont val="Times New Roman"/>
        <family val="1"/>
      </rPr>
      <t>2</t>
    </r>
    <r>
      <rPr>
        <sz val="10"/>
        <rFont val="Times New Roman"/>
        <family val="1"/>
      </rPr>
      <t>-sec per kg/m</t>
    </r>
    <r>
      <rPr>
        <vertAlign val="superscript"/>
        <sz val="10"/>
        <rFont val="Times New Roman"/>
        <family val="1"/>
      </rPr>
      <t>3</t>
    </r>
  </si>
  <si>
    <r>
      <t>Constant A</t>
    </r>
    <r>
      <rPr>
        <vertAlign val="superscript"/>
        <sz val="10"/>
        <rFont val="Times New Roman"/>
        <family val="1"/>
      </rPr>
      <t>(2)</t>
    </r>
  </si>
  <si>
    <r>
      <t>Constant B</t>
    </r>
    <r>
      <rPr>
        <vertAlign val="superscript"/>
        <sz val="10"/>
        <rFont val="Times New Roman"/>
        <family val="1"/>
      </rPr>
      <t>(2)</t>
    </r>
  </si>
  <si>
    <r>
      <t>Constant C</t>
    </r>
    <r>
      <rPr>
        <vertAlign val="superscript"/>
        <sz val="10"/>
        <rFont val="Times New Roman"/>
        <family val="1"/>
      </rPr>
      <t>(2)</t>
    </r>
  </si>
  <si>
    <t>acres</t>
  </si>
  <si>
    <r>
      <t>Dispersion correction factor</t>
    </r>
    <r>
      <rPr>
        <b/>
        <vertAlign val="superscript"/>
        <sz val="10"/>
        <rFont val="Times New Roman"/>
        <family val="1"/>
      </rPr>
      <t>(16)</t>
    </r>
  </si>
  <si>
    <r>
      <t>Subchronic PEF for Construction Activities</t>
    </r>
    <r>
      <rPr>
        <b/>
        <vertAlign val="superscript"/>
        <sz val="10"/>
        <rFont val="Times New Roman"/>
        <family val="1"/>
      </rPr>
      <t>(17)</t>
    </r>
  </si>
  <si>
    <r>
      <t>PEF</t>
    </r>
    <r>
      <rPr>
        <b/>
        <vertAlign val="subscript"/>
        <sz val="10"/>
        <rFont val="Times New Roman"/>
        <family val="1"/>
      </rPr>
      <t>sc</t>
    </r>
  </si>
  <si>
    <t>ND</t>
  </si>
  <si>
    <t>Sample ID</t>
  </si>
  <si>
    <r>
      <t xml:space="preserve">  - M</t>
    </r>
    <r>
      <rPr>
        <vertAlign val="subscript"/>
        <sz val="9.5"/>
        <rFont val="Times New Roman"/>
        <family val="1"/>
      </rPr>
      <t>wind</t>
    </r>
    <r>
      <rPr>
        <sz val="9.5"/>
        <rFont val="Times New Roman"/>
        <family val="1"/>
      </rPr>
      <t xml:space="preserve"> = 0.036 </t>
    </r>
    <r>
      <rPr>
        <sz val="9.5"/>
        <rFont val="Symbol"/>
        <family val="1"/>
      </rPr>
      <t>´</t>
    </r>
    <r>
      <rPr>
        <sz val="9.5"/>
        <rFont val="Times New Roman"/>
        <family val="1"/>
      </rPr>
      <t xml:space="preserve"> (1-V) </t>
    </r>
    <r>
      <rPr>
        <sz val="9.5"/>
        <rFont val="Symbol"/>
        <family val="1"/>
      </rPr>
      <t>´</t>
    </r>
    <r>
      <rPr>
        <sz val="9.5"/>
        <rFont val="Times New Roman"/>
        <family val="1"/>
      </rPr>
      <t xml:space="preserve"> (U</t>
    </r>
    <r>
      <rPr>
        <vertAlign val="subscript"/>
        <sz val="9.5"/>
        <rFont val="Times New Roman"/>
        <family val="1"/>
      </rPr>
      <t>m</t>
    </r>
    <r>
      <rPr>
        <sz val="9.5"/>
        <rFont val="Times New Roman"/>
        <family val="1"/>
      </rPr>
      <t>/U</t>
    </r>
    <r>
      <rPr>
        <vertAlign val="subscript"/>
        <sz val="9.5"/>
        <rFont val="Times New Roman"/>
        <family val="1"/>
      </rPr>
      <t>t)</t>
    </r>
    <r>
      <rPr>
        <vertAlign val="superscript"/>
        <sz val="9.5"/>
        <rFont val="Times New Roman"/>
        <family val="1"/>
      </rPr>
      <t>3</t>
    </r>
    <r>
      <rPr>
        <sz val="9.5"/>
        <rFont val="Times New Roman"/>
        <family val="1"/>
      </rPr>
      <t xml:space="preserve"> </t>
    </r>
    <r>
      <rPr>
        <sz val="9.5"/>
        <rFont val="Symbol"/>
        <family val="1"/>
      </rPr>
      <t>´</t>
    </r>
    <r>
      <rPr>
        <sz val="9.5"/>
        <rFont val="Times New Roman"/>
        <family val="1"/>
      </rPr>
      <t xml:space="preserve"> F(x) </t>
    </r>
    <r>
      <rPr>
        <sz val="9.5"/>
        <rFont val="Symbol"/>
        <family val="1"/>
      </rPr>
      <t>´</t>
    </r>
    <r>
      <rPr>
        <sz val="9.5"/>
        <rFont val="Times New Roman"/>
        <family val="1"/>
      </rPr>
      <t xml:space="preserve"> A</t>
    </r>
    <r>
      <rPr>
        <vertAlign val="subscript"/>
        <sz val="9.5"/>
        <rFont val="Times New Roman"/>
        <family val="1"/>
      </rPr>
      <t>surf</t>
    </r>
    <r>
      <rPr>
        <sz val="9.5"/>
        <rFont val="Times New Roman"/>
        <family val="1"/>
      </rPr>
      <t xml:space="preserve"> </t>
    </r>
    <r>
      <rPr>
        <sz val="9.5"/>
        <rFont val="Symbol"/>
        <family val="1"/>
      </rPr>
      <t>´</t>
    </r>
    <r>
      <rPr>
        <sz val="9.5"/>
        <rFont val="Times New Roman"/>
        <family val="1"/>
      </rPr>
      <t xml:space="preserve"> ED </t>
    </r>
    <r>
      <rPr>
        <sz val="9.5"/>
        <rFont val="Symbol"/>
        <family val="1"/>
      </rPr>
      <t>´</t>
    </r>
    <r>
      <rPr>
        <sz val="9.5"/>
        <rFont val="Times New Roman"/>
        <family val="1"/>
      </rPr>
      <t xml:space="preserve"> 8760hr/yr.</t>
    </r>
  </si>
  <si>
    <r>
      <t xml:space="preserve">   C</t>
    </r>
    <r>
      <rPr>
        <b/>
        <i/>
        <vertAlign val="subscript"/>
        <sz val="11"/>
        <color indexed="8"/>
        <rFont val="Calibri"/>
        <family val="2"/>
      </rPr>
      <t>soil</t>
    </r>
    <r>
      <rPr>
        <b/>
        <i/>
        <sz val="11"/>
        <color indexed="8"/>
        <rFont val="Calibri"/>
        <family val="2"/>
      </rPr>
      <t xml:space="preserve"> = ((TR * AT)/(URF*ET*EF*ED))*PEF</t>
    </r>
  </si>
  <si>
    <t>EF:  USEPA (2002), Exhibits 1-2 (Industrial-Commercial and On-Site Residenti) and 5-1 (Construction and Off-Site Resident).  EF for and Indoor Worker (250 d/yr) applied because it is larger than that for Outdoor Worker (225 d/yr).</t>
  </si>
  <si>
    <r>
      <t>(6) From USEPA 2002a - M</t>
    </r>
    <r>
      <rPr>
        <vertAlign val="subscript"/>
        <sz val="9.5"/>
        <rFont val="Times New Roman"/>
        <family val="1"/>
      </rPr>
      <t>excav</t>
    </r>
    <r>
      <rPr>
        <sz val="9.5"/>
        <rFont val="Times New Roman"/>
        <family val="1"/>
      </rPr>
      <t xml:space="preserve"> = 0.35 </t>
    </r>
    <r>
      <rPr>
        <sz val="9.5"/>
        <rFont val="Symbol"/>
        <family val="1"/>
      </rPr>
      <t>´</t>
    </r>
    <r>
      <rPr>
        <sz val="9.5"/>
        <rFont val="Times New Roman"/>
        <family val="1"/>
      </rPr>
      <t xml:space="preserve"> 0.0016 </t>
    </r>
    <r>
      <rPr>
        <sz val="9.5"/>
        <rFont val="Symbol"/>
        <family val="1"/>
      </rPr>
      <t>´</t>
    </r>
    <r>
      <rPr>
        <sz val="9.5"/>
        <rFont val="Times New Roman"/>
        <family val="1"/>
      </rPr>
      <t xml:space="preserve"> [(U</t>
    </r>
    <r>
      <rPr>
        <vertAlign val="subscript"/>
        <sz val="9.5"/>
        <rFont val="Times New Roman"/>
        <family val="1"/>
      </rPr>
      <t>m</t>
    </r>
    <r>
      <rPr>
        <sz val="9.5"/>
        <rFont val="Times New Roman"/>
        <family val="1"/>
      </rPr>
      <t>/2.2</t>
    </r>
    <r>
      <rPr>
        <vertAlign val="subscript"/>
        <sz val="9.5"/>
        <rFont val="Times New Roman"/>
        <family val="1"/>
      </rPr>
      <t>)</t>
    </r>
    <r>
      <rPr>
        <vertAlign val="superscript"/>
        <sz val="9.5"/>
        <rFont val="Times New Roman"/>
        <family val="1"/>
      </rPr>
      <t>1.3</t>
    </r>
    <r>
      <rPr>
        <sz val="9.5"/>
        <rFont val="Times New Roman"/>
        <family val="1"/>
      </rPr>
      <t>/(M/2)</t>
    </r>
    <r>
      <rPr>
        <vertAlign val="superscript"/>
        <sz val="9.5"/>
        <rFont val="Times New Roman"/>
        <family val="1"/>
      </rPr>
      <t>1.4</t>
    </r>
    <r>
      <rPr>
        <sz val="9.5"/>
        <rFont val="Times New Roman"/>
        <family val="1"/>
      </rPr>
      <t xml:space="preserve">] </t>
    </r>
    <r>
      <rPr>
        <sz val="9.5"/>
        <rFont val="Symbol"/>
        <family val="1"/>
      </rPr>
      <t>´</t>
    </r>
    <r>
      <rPr>
        <sz val="9.5"/>
        <rFont val="Times New Roman"/>
        <family val="1"/>
      </rPr>
      <t xml:space="preserve"> </t>
    </r>
    <r>
      <rPr>
        <sz val="9.5"/>
        <rFont val="Symbol"/>
        <family val="1"/>
      </rPr>
      <t>r</t>
    </r>
    <r>
      <rPr>
        <vertAlign val="subscript"/>
        <sz val="9.5"/>
        <rFont val="Times New Roman"/>
        <family val="1"/>
      </rPr>
      <t>soil</t>
    </r>
    <r>
      <rPr>
        <sz val="9.5"/>
        <rFont val="Times New Roman"/>
        <family val="1"/>
      </rPr>
      <t xml:space="preserve"> </t>
    </r>
    <r>
      <rPr>
        <sz val="9.5"/>
        <rFont val="Symbol"/>
        <family val="1"/>
      </rPr>
      <t>´</t>
    </r>
    <r>
      <rPr>
        <sz val="9.5"/>
        <rFont val="Times New Roman"/>
        <family val="1"/>
      </rPr>
      <t xml:space="preserve"> A</t>
    </r>
    <r>
      <rPr>
        <vertAlign val="subscript"/>
        <sz val="9.5"/>
        <rFont val="Times New Roman"/>
        <family val="1"/>
      </rPr>
      <t>excav</t>
    </r>
    <r>
      <rPr>
        <sz val="9.5"/>
        <rFont val="Times New Roman"/>
        <family val="1"/>
      </rPr>
      <t xml:space="preserve"> </t>
    </r>
    <r>
      <rPr>
        <sz val="9.5"/>
        <rFont val="Symbol"/>
        <family val="1"/>
      </rPr>
      <t>´</t>
    </r>
    <r>
      <rPr>
        <sz val="9.5"/>
        <rFont val="Times New Roman"/>
        <family val="1"/>
      </rPr>
      <t xml:space="preserve"> d</t>
    </r>
    <r>
      <rPr>
        <vertAlign val="subscript"/>
        <sz val="9.5"/>
        <rFont val="Times New Roman"/>
        <family val="1"/>
      </rPr>
      <t>excav</t>
    </r>
    <r>
      <rPr>
        <sz val="9.5"/>
        <rFont val="Times New Roman"/>
        <family val="1"/>
      </rPr>
      <t xml:space="preserve"> </t>
    </r>
    <r>
      <rPr>
        <sz val="9.5"/>
        <rFont val="Symbol"/>
        <family val="1"/>
      </rPr>
      <t>´</t>
    </r>
    <r>
      <rPr>
        <sz val="9.5"/>
        <rFont val="Times New Roman"/>
        <family val="1"/>
      </rPr>
      <t xml:space="preserve"> N</t>
    </r>
    <r>
      <rPr>
        <vertAlign val="subscript"/>
        <sz val="9.5"/>
        <rFont val="Times New Roman"/>
        <family val="1"/>
      </rPr>
      <t>A</t>
    </r>
    <r>
      <rPr>
        <sz val="9.5"/>
        <rFont val="Times New Roman"/>
        <family val="1"/>
      </rPr>
      <t xml:space="preserve"> </t>
    </r>
    <r>
      <rPr>
        <sz val="9.5"/>
        <rFont val="Symbol"/>
        <family val="1"/>
      </rPr>
      <t>´</t>
    </r>
    <r>
      <rPr>
        <sz val="9.5"/>
        <rFont val="Times New Roman"/>
        <family val="1"/>
      </rPr>
      <t xml:space="preserve"> 10</t>
    </r>
    <r>
      <rPr>
        <vertAlign val="superscript"/>
        <sz val="9.5"/>
        <rFont val="Times New Roman"/>
        <family val="1"/>
      </rPr>
      <t>3</t>
    </r>
    <r>
      <rPr>
        <sz val="9.5"/>
        <rFont val="Times New Roman"/>
        <family val="1"/>
      </rPr>
      <t>g/kg.</t>
    </r>
  </si>
  <si>
    <t>(9) Assumed value of one fifth of the site based upon USEPA (2002).</t>
  </si>
  <si>
    <t>(1) From USEPA. (2002). Supplemental Guidance for Developing Soil Screening Levels for Superfund Sites.</t>
  </si>
  <si>
    <t>(2) Assumed value for the site based upon USEPA (2002).</t>
  </si>
  <si>
    <t>(3) Based on long-term weather data for the area of interest - this value can change based on site specific characteristics</t>
  </si>
  <si>
    <r>
      <t>Total outdoor ambient air dust concentration</t>
    </r>
    <r>
      <rPr>
        <b/>
        <vertAlign val="superscript"/>
        <sz val="10"/>
        <rFont val="Times New Roman"/>
        <family val="1"/>
      </rPr>
      <t>(25)</t>
    </r>
  </si>
  <si>
    <r>
      <t>kg/m</t>
    </r>
    <r>
      <rPr>
        <b/>
        <vertAlign val="superscript"/>
        <sz val="10"/>
        <rFont val="Times New Roman"/>
        <family val="1"/>
      </rPr>
      <t>3</t>
    </r>
  </si>
  <si>
    <r>
      <t>Total construction related PEF</t>
    </r>
    <r>
      <rPr>
        <b/>
        <vertAlign val="superscript"/>
        <sz val="10"/>
        <rFont val="Times New Roman"/>
        <family val="1"/>
      </rPr>
      <t>(24)</t>
    </r>
  </si>
  <si>
    <r>
      <t>PEF</t>
    </r>
    <r>
      <rPr>
        <b/>
        <vertAlign val="subscript"/>
        <sz val="10"/>
        <rFont val="Times New Roman"/>
        <family val="1"/>
      </rPr>
      <t>sc_total</t>
    </r>
  </si>
  <si>
    <r>
      <t>PEF</t>
    </r>
    <r>
      <rPr>
        <b/>
        <vertAlign val="subscript"/>
        <sz val="10"/>
        <rFont val="Times New Roman"/>
        <family val="1"/>
      </rPr>
      <t>Worker</t>
    </r>
  </si>
  <si>
    <t>PARTICULATE EMISSION FACTOR (PEF) FOR OFF-SITE RESIDENTIAL SCENARIO</t>
  </si>
  <si>
    <t>PARTICULATE EMISSION FACTOR (PEF) FOR CONSTRUCTION SCENARIO</t>
  </si>
  <si>
    <t>PARTICULATE EMISSION FACTOR (PEF) FOR COMMERCIAL/INDUSTRIAL SCENARIO</t>
  </si>
  <si>
    <t>Combined</t>
  </si>
  <si>
    <r>
      <t>(10) From USEPA 2002 - M</t>
    </r>
    <r>
      <rPr>
        <vertAlign val="subscript"/>
        <sz val="9.5"/>
        <rFont val="Times New Roman"/>
        <family val="1"/>
      </rPr>
      <t>doz</t>
    </r>
    <r>
      <rPr>
        <sz val="9.5"/>
        <rFont val="Times New Roman"/>
        <family val="1"/>
      </rPr>
      <t xml:space="preserve"> = 0.75 </t>
    </r>
    <r>
      <rPr>
        <sz val="9.5"/>
        <rFont val="Symbol"/>
        <family val="1"/>
      </rPr>
      <t>´</t>
    </r>
    <r>
      <rPr>
        <sz val="9.5"/>
        <rFont val="Times New Roman"/>
        <family val="1"/>
      </rPr>
      <t xml:space="preserve"> [(0.45 </t>
    </r>
    <r>
      <rPr>
        <sz val="9.5"/>
        <rFont val="Symbol"/>
        <family val="1"/>
      </rPr>
      <t>´</t>
    </r>
    <r>
      <rPr>
        <sz val="9.5"/>
        <rFont val="Times New Roman"/>
        <family val="1"/>
      </rPr>
      <t xml:space="preserve"> s</t>
    </r>
    <r>
      <rPr>
        <vertAlign val="superscript"/>
        <sz val="9.5"/>
        <rFont val="Times New Roman"/>
        <family val="1"/>
      </rPr>
      <t>1.5</t>
    </r>
    <r>
      <rPr>
        <sz val="9.5"/>
        <rFont val="Times New Roman"/>
        <family val="1"/>
      </rPr>
      <t>)/(M)</t>
    </r>
    <r>
      <rPr>
        <vertAlign val="superscript"/>
        <sz val="9.5"/>
        <rFont val="Times New Roman"/>
        <family val="1"/>
      </rPr>
      <t>1.4</t>
    </r>
    <r>
      <rPr>
        <sz val="9.5"/>
        <rFont val="Times New Roman"/>
        <family val="1"/>
      </rPr>
      <t xml:space="preserve">] </t>
    </r>
    <r>
      <rPr>
        <sz val="9.5"/>
        <rFont val="Symbol"/>
        <family val="1"/>
      </rPr>
      <t>´</t>
    </r>
    <r>
      <rPr>
        <sz val="9.5"/>
        <rFont val="Times New Roman"/>
        <family val="1"/>
      </rPr>
      <t xml:space="preserve"> </t>
    </r>
    <r>
      <rPr>
        <sz val="9.5"/>
        <rFont val="Arial"/>
        <family val="2"/>
      </rPr>
      <t>∑</t>
    </r>
    <r>
      <rPr>
        <sz val="9.5"/>
        <rFont val="Times New Roman"/>
        <family val="1"/>
      </rPr>
      <t>VKT</t>
    </r>
    <r>
      <rPr>
        <vertAlign val="subscript"/>
        <sz val="9.5"/>
        <rFont val="Times New Roman"/>
        <family val="1"/>
      </rPr>
      <t>doz</t>
    </r>
    <r>
      <rPr>
        <sz val="9.5"/>
        <rFont val="Times New Roman"/>
        <family val="1"/>
      </rPr>
      <t>/S</t>
    </r>
    <r>
      <rPr>
        <vertAlign val="subscript"/>
        <sz val="9.5"/>
        <rFont val="Times New Roman"/>
        <family val="1"/>
      </rPr>
      <t>doz</t>
    </r>
    <r>
      <rPr>
        <sz val="9.5"/>
        <rFont val="Times New Roman"/>
        <family val="1"/>
      </rPr>
      <t xml:space="preserve"> </t>
    </r>
    <r>
      <rPr>
        <sz val="9.5"/>
        <rFont val="Symbol"/>
        <family val="1"/>
      </rPr>
      <t>´</t>
    </r>
    <r>
      <rPr>
        <sz val="9.5"/>
        <rFont val="Times New Roman"/>
        <family val="1"/>
      </rPr>
      <t xml:space="preserve"> 10</t>
    </r>
    <r>
      <rPr>
        <vertAlign val="superscript"/>
        <sz val="9.5"/>
        <rFont val="Times New Roman"/>
        <family val="1"/>
      </rPr>
      <t>3</t>
    </r>
    <r>
      <rPr>
        <sz val="9.5"/>
        <rFont val="Times New Roman"/>
        <family val="1"/>
      </rPr>
      <t>g/kg.</t>
    </r>
  </si>
  <si>
    <r>
      <t>(11) From USEPA 2002 - VKT</t>
    </r>
    <r>
      <rPr>
        <vertAlign val="subscript"/>
        <sz val="9.5"/>
        <rFont val="Times New Roman"/>
        <family val="1"/>
      </rPr>
      <t>doz</t>
    </r>
    <r>
      <rPr>
        <sz val="9.5"/>
        <rFont val="Times New Roman"/>
        <family val="1"/>
      </rPr>
      <t xml:space="preserve"> = [(A</t>
    </r>
    <r>
      <rPr>
        <vertAlign val="subscript"/>
        <sz val="9.5"/>
        <rFont val="Times New Roman"/>
        <family val="1"/>
      </rPr>
      <t>surf</t>
    </r>
    <r>
      <rPr>
        <vertAlign val="superscript"/>
        <sz val="9.5"/>
        <rFont val="Times New Roman"/>
        <family val="1"/>
      </rPr>
      <t>0.5</t>
    </r>
    <r>
      <rPr>
        <sz val="9.5"/>
        <rFont val="Times New Roman"/>
        <family val="1"/>
      </rPr>
      <t xml:space="preserve">/2.44m) </t>
    </r>
    <r>
      <rPr>
        <sz val="9.5"/>
        <rFont val="Symbol"/>
        <family val="1"/>
      </rPr>
      <t>´</t>
    </r>
    <r>
      <rPr>
        <sz val="9.5"/>
        <rFont val="Times New Roman"/>
        <family val="1"/>
      </rPr>
      <t xml:space="preserve"> A</t>
    </r>
    <r>
      <rPr>
        <vertAlign val="subscript"/>
        <sz val="9.5"/>
        <rFont val="Times New Roman"/>
        <family val="1"/>
      </rPr>
      <t>surf</t>
    </r>
    <r>
      <rPr>
        <vertAlign val="superscript"/>
        <sz val="9.5"/>
        <rFont val="Times New Roman"/>
        <family val="1"/>
      </rPr>
      <t>0.5</t>
    </r>
    <r>
      <rPr>
        <sz val="9.5"/>
        <rFont val="Times New Roman"/>
        <family val="1"/>
      </rPr>
      <t xml:space="preserve"> </t>
    </r>
    <r>
      <rPr>
        <sz val="9.5"/>
        <rFont val="Symbol"/>
        <family val="1"/>
      </rPr>
      <t>´</t>
    </r>
    <r>
      <rPr>
        <sz val="9.5"/>
        <rFont val="Times New Roman"/>
        <family val="1"/>
      </rPr>
      <t xml:space="preserve"> 3]/1,000 m/km.</t>
    </r>
  </si>
  <si>
    <r>
      <t>(12) From USEPA 2002 - M</t>
    </r>
    <r>
      <rPr>
        <vertAlign val="subscript"/>
        <sz val="9.5"/>
        <rFont val="Times New Roman"/>
        <family val="1"/>
      </rPr>
      <t>grade</t>
    </r>
    <r>
      <rPr>
        <sz val="9.5"/>
        <rFont val="Times New Roman"/>
        <family val="1"/>
      </rPr>
      <t xml:space="preserve"> = 0.60 </t>
    </r>
    <r>
      <rPr>
        <sz val="9.5"/>
        <rFont val="Symbol"/>
        <family val="1"/>
      </rPr>
      <t>´</t>
    </r>
    <r>
      <rPr>
        <sz val="9.5"/>
        <rFont val="Times New Roman"/>
        <family val="1"/>
      </rPr>
      <t xml:space="preserve"> (0.0056 </t>
    </r>
    <r>
      <rPr>
        <sz val="9.5"/>
        <rFont val="Symbol"/>
        <family val="1"/>
      </rPr>
      <t>´</t>
    </r>
    <r>
      <rPr>
        <sz val="9.5"/>
        <rFont val="Times New Roman"/>
        <family val="1"/>
      </rPr>
      <t xml:space="preserve"> S</t>
    </r>
    <r>
      <rPr>
        <vertAlign val="superscript"/>
        <sz val="9.5"/>
        <rFont val="Times New Roman"/>
        <family val="1"/>
      </rPr>
      <t>2.0</t>
    </r>
    <r>
      <rPr>
        <sz val="9.5"/>
        <rFont val="Times New Roman"/>
        <family val="1"/>
      </rPr>
      <t xml:space="preserve">) </t>
    </r>
    <r>
      <rPr>
        <sz val="9.5"/>
        <rFont val="Symbol"/>
        <family val="1"/>
      </rPr>
      <t>´</t>
    </r>
    <r>
      <rPr>
        <sz val="9.5"/>
        <rFont val="Times New Roman"/>
        <family val="1"/>
      </rPr>
      <t xml:space="preserve"> </t>
    </r>
    <r>
      <rPr>
        <sz val="9.5"/>
        <rFont val="Arial"/>
        <family val="2"/>
      </rPr>
      <t>∑</t>
    </r>
    <r>
      <rPr>
        <sz val="9.5"/>
        <rFont val="Times New Roman"/>
        <family val="1"/>
      </rPr>
      <t>VKT</t>
    </r>
    <r>
      <rPr>
        <vertAlign val="subscript"/>
        <sz val="9.5"/>
        <rFont val="Times New Roman"/>
        <family val="1"/>
      </rPr>
      <t>grade</t>
    </r>
    <r>
      <rPr>
        <sz val="9.5"/>
        <rFont val="Times New Roman"/>
        <family val="1"/>
      </rPr>
      <t xml:space="preserve"> </t>
    </r>
    <r>
      <rPr>
        <sz val="9.5"/>
        <rFont val="Symbol"/>
        <family val="1"/>
      </rPr>
      <t>´</t>
    </r>
    <r>
      <rPr>
        <sz val="9.5"/>
        <rFont val="Times New Roman"/>
        <family val="1"/>
      </rPr>
      <t xml:space="preserve"> 10</t>
    </r>
    <r>
      <rPr>
        <vertAlign val="superscript"/>
        <sz val="9.5"/>
        <rFont val="Times New Roman"/>
        <family val="1"/>
      </rPr>
      <t>3</t>
    </r>
    <r>
      <rPr>
        <sz val="9.5"/>
        <rFont val="Times New Roman"/>
        <family val="1"/>
      </rPr>
      <t>g/kg.</t>
    </r>
  </si>
  <si>
    <r>
      <t>(13) From USEPA 2002 - M</t>
    </r>
    <r>
      <rPr>
        <vertAlign val="subscript"/>
        <sz val="9.5"/>
        <rFont val="Times New Roman"/>
        <family val="1"/>
      </rPr>
      <t>till</t>
    </r>
    <r>
      <rPr>
        <sz val="9.5"/>
        <rFont val="Times New Roman"/>
        <family val="1"/>
      </rPr>
      <t xml:space="preserve"> = 1.1 </t>
    </r>
    <r>
      <rPr>
        <sz val="9.5"/>
        <rFont val="Symbol"/>
        <family val="1"/>
      </rPr>
      <t>´</t>
    </r>
    <r>
      <rPr>
        <sz val="9.5"/>
        <rFont val="Times New Roman"/>
        <family val="1"/>
      </rPr>
      <t xml:space="preserve"> s</t>
    </r>
    <r>
      <rPr>
        <vertAlign val="superscript"/>
        <sz val="9.5"/>
        <rFont val="Times New Roman"/>
        <family val="1"/>
      </rPr>
      <t>0.6</t>
    </r>
    <r>
      <rPr>
        <sz val="9.5"/>
        <rFont val="Times New Roman"/>
        <family val="1"/>
      </rPr>
      <t xml:space="preserve"> </t>
    </r>
    <r>
      <rPr>
        <sz val="9.5"/>
        <rFont val="Symbol"/>
        <family val="1"/>
      </rPr>
      <t>´</t>
    </r>
    <r>
      <rPr>
        <sz val="9.5"/>
        <rFont val="Times New Roman"/>
        <family val="1"/>
      </rPr>
      <t xml:space="preserve"> A</t>
    </r>
    <r>
      <rPr>
        <vertAlign val="subscript"/>
        <sz val="9.5"/>
        <rFont val="Times New Roman"/>
        <family val="1"/>
      </rPr>
      <t>till</t>
    </r>
    <r>
      <rPr>
        <sz val="9.5"/>
        <rFont val="Times New Roman"/>
        <family val="1"/>
      </rPr>
      <t xml:space="preserve"> </t>
    </r>
    <r>
      <rPr>
        <sz val="9.5"/>
        <rFont val="Symbol"/>
        <family val="1"/>
      </rPr>
      <t>´</t>
    </r>
    <r>
      <rPr>
        <sz val="9.5"/>
        <rFont val="Times New Roman"/>
        <family val="1"/>
      </rPr>
      <t xml:space="preserve"> 4,047m</t>
    </r>
    <r>
      <rPr>
        <vertAlign val="superscript"/>
        <sz val="9.5"/>
        <rFont val="Times New Roman"/>
        <family val="1"/>
      </rPr>
      <t>2</t>
    </r>
    <r>
      <rPr>
        <sz val="9.5"/>
        <rFont val="Times New Roman"/>
        <family val="1"/>
      </rPr>
      <t xml:space="preserve">/acre </t>
    </r>
    <r>
      <rPr>
        <sz val="9.5"/>
        <rFont val="Symbol"/>
        <family val="1"/>
      </rPr>
      <t>´</t>
    </r>
    <r>
      <rPr>
        <sz val="9.5"/>
        <rFont val="Times New Roman"/>
        <family val="1"/>
      </rPr>
      <t xml:space="preserve"> 10</t>
    </r>
    <r>
      <rPr>
        <vertAlign val="superscript"/>
        <sz val="9.5"/>
        <rFont val="Times New Roman"/>
        <family val="1"/>
      </rPr>
      <t>-4</t>
    </r>
    <r>
      <rPr>
        <sz val="9.5"/>
        <rFont val="Times New Roman"/>
        <family val="1"/>
      </rPr>
      <t>ha/m</t>
    </r>
    <r>
      <rPr>
        <vertAlign val="superscript"/>
        <sz val="9.5"/>
        <rFont val="Times New Roman"/>
        <family val="1"/>
      </rPr>
      <t>2</t>
    </r>
    <r>
      <rPr>
        <sz val="9.5"/>
        <rFont val="Times New Roman"/>
        <family val="1"/>
      </rPr>
      <t xml:space="preserve"> </t>
    </r>
    <r>
      <rPr>
        <sz val="9.5"/>
        <rFont val="Symbol"/>
        <family val="1"/>
      </rPr>
      <t>´</t>
    </r>
    <r>
      <rPr>
        <sz val="9.5"/>
        <rFont val="Times New Roman"/>
        <family val="1"/>
      </rPr>
      <t xml:space="preserve"> 10</t>
    </r>
    <r>
      <rPr>
        <vertAlign val="superscript"/>
        <sz val="9.5"/>
        <rFont val="Times New Roman"/>
        <family val="1"/>
      </rPr>
      <t>3</t>
    </r>
    <r>
      <rPr>
        <sz val="9.5"/>
        <rFont val="Times New Roman"/>
        <family val="1"/>
      </rPr>
      <t xml:space="preserve">g/kg </t>
    </r>
    <r>
      <rPr>
        <sz val="9.5"/>
        <rFont val="Symbol"/>
        <family val="1"/>
      </rPr>
      <t>´</t>
    </r>
    <r>
      <rPr>
        <sz val="9.5"/>
        <rFont val="Times New Roman"/>
        <family val="1"/>
      </rPr>
      <t xml:space="preserve"> N</t>
    </r>
    <r>
      <rPr>
        <vertAlign val="subscript"/>
        <sz val="9.5"/>
        <rFont val="Times New Roman"/>
        <family val="1"/>
      </rPr>
      <t>A</t>
    </r>
    <r>
      <rPr>
        <sz val="9.5"/>
        <rFont val="Times New Roman"/>
        <family val="1"/>
      </rPr>
      <t>.</t>
    </r>
  </si>
  <si>
    <r>
      <t>Fraction of vegetative cover</t>
    </r>
    <r>
      <rPr>
        <vertAlign val="superscript"/>
        <sz val="10"/>
        <rFont val="Times New Roman"/>
        <family val="1"/>
      </rPr>
      <t>(2)</t>
    </r>
  </si>
  <si>
    <t>V</t>
  </si>
  <si>
    <t>--</t>
  </si>
  <si>
    <r>
      <t>Mean annual wind speed</t>
    </r>
    <r>
      <rPr>
        <vertAlign val="superscript"/>
        <sz val="10"/>
        <rFont val="Times New Roman"/>
        <family val="1"/>
      </rPr>
      <t>(3)</t>
    </r>
  </si>
  <si>
    <r>
      <t>U</t>
    </r>
    <r>
      <rPr>
        <vertAlign val="subscript"/>
        <sz val="10"/>
        <rFont val="Times New Roman"/>
        <family val="1"/>
      </rPr>
      <t>m</t>
    </r>
  </si>
  <si>
    <t>m/s</t>
  </si>
  <si>
    <r>
      <t>Equivalent threshold value of wind speed</t>
    </r>
    <r>
      <rPr>
        <vertAlign val="superscript"/>
        <sz val="10"/>
        <rFont val="Times New Roman"/>
        <family val="1"/>
      </rPr>
      <t>(2)</t>
    </r>
  </si>
  <si>
    <r>
      <t>U</t>
    </r>
    <r>
      <rPr>
        <vertAlign val="subscript"/>
        <sz val="10"/>
        <rFont val="Times New Roman"/>
        <family val="1"/>
      </rPr>
      <t>t</t>
    </r>
  </si>
  <si>
    <r>
      <t>Function dependent on U/U</t>
    </r>
    <r>
      <rPr>
        <vertAlign val="subscript"/>
        <sz val="10"/>
        <rFont val="Times New Roman"/>
        <family val="1"/>
      </rPr>
      <t>t</t>
    </r>
    <r>
      <rPr>
        <vertAlign val="superscript"/>
        <sz val="10"/>
        <rFont val="Times New Roman"/>
        <family val="1"/>
      </rPr>
      <t>(2)</t>
    </r>
  </si>
  <si>
    <t>F(x)</t>
  </si>
  <si>
    <r>
      <t>Areal Extent of site surface contamination</t>
    </r>
    <r>
      <rPr>
        <vertAlign val="superscript"/>
        <sz val="10"/>
        <rFont val="Times New Roman"/>
        <family val="1"/>
      </rPr>
      <t>(4)</t>
    </r>
  </si>
  <si>
    <r>
      <t>A</t>
    </r>
    <r>
      <rPr>
        <vertAlign val="subscript"/>
        <sz val="10"/>
        <rFont val="Times New Roman"/>
        <family val="1"/>
      </rPr>
      <t>surf</t>
    </r>
  </si>
  <si>
    <r>
      <t>m</t>
    </r>
    <r>
      <rPr>
        <vertAlign val="superscript"/>
        <sz val="10"/>
        <rFont val="Times New Roman"/>
        <family val="1"/>
      </rPr>
      <t>2</t>
    </r>
  </si>
  <si>
    <r>
      <t>Exposure duration</t>
    </r>
    <r>
      <rPr>
        <vertAlign val="superscript"/>
        <sz val="10"/>
        <rFont val="Times New Roman"/>
        <family val="1"/>
      </rPr>
      <t>(5)</t>
    </r>
  </si>
  <si>
    <t>ED</t>
  </si>
  <si>
    <t>year</t>
  </si>
  <si>
    <r>
      <t>Q/C</t>
    </r>
    <r>
      <rPr>
        <b/>
        <vertAlign val="subscript"/>
        <sz val="10"/>
        <rFont val="Times New Roman"/>
        <family val="1"/>
      </rPr>
      <t>wind</t>
    </r>
  </si>
  <si>
    <r>
      <t>Q/C</t>
    </r>
    <r>
      <rPr>
        <b/>
        <vertAlign val="subscript"/>
        <sz val="10"/>
        <rFont val="Times New Roman"/>
        <family val="1"/>
      </rPr>
      <t>OFF</t>
    </r>
  </si>
  <si>
    <r>
      <t>J'</t>
    </r>
    <r>
      <rPr>
        <b/>
        <vertAlign val="subscript"/>
        <sz val="10"/>
        <rFont val="Times New Roman"/>
        <family val="1"/>
      </rPr>
      <t>T</t>
    </r>
    <r>
      <rPr>
        <b/>
        <vertAlign val="superscript"/>
        <sz val="10"/>
        <rFont val="Times New Roman"/>
        <family val="1"/>
      </rPr>
      <t>OFF</t>
    </r>
  </si>
  <si>
    <t>Albuquerque, NM</t>
  </si>
  <si>
    <t>Atlanta, GA</t>
  </si>
  <si>
    <t>Bismarck, ND</t>
  </si>
  <si>
    <t>Boise, ID</t>
  </si>
  <si>
    <r>
      <t>Soil Concentration (C</t>
    </r>
    <r>
      <rPr>
        <b/>
        <vertAlign val="subscript"/>
        <sz val="11"/>
        <color indexed="8"/>
        <rFont val="Calibri"/>
        <family val="2"/>
      </rPr>
      <t>s</t>
    </r>
    <r>
      <rPr>
        <b/>
        <sz val="11"/>
        <color indexed="8"/>
        <rFont val="Calibri"/>
        <family val="2"/>
      </rPr>
      <t>) Parameters</t>
    </r>
  </si>
  <si>
    <t>Unitless</t>
  </si>
  <si>
    <r>
      <t>UCL</t>
    </r>
    <r>
      <rPr>
        <vertAlign val="superscript"/>
        <sz val="8"/>
        <color indexed="8"/>
        <rFont val="Calibri"/>
        <family val="2"/>
      </rPr>
      <t>1</t>
    </r>
  </si>
  <si>
    <t>---------</t>
  </si>
  <si>
    <t>Total Structures</t>
  </si>
  <si>
    <t>Based on Table 8-2 ("Expected")</t>
  </si>
  <si>
    <r>
      <t>Unit Risk Factor (URF)</t>
    </r>
    <r>
      <rPr>
        <b/>
        <vertAlign val="superscript"/>
        <sz val="11"/>
        <color indexed="8"/>
        <rFont val="Calibri"/>
        <family val="2"/>
      </rPr>
      <t>1</t>
    </r>
  </si>
  <si>
    <t>Pooled Analytical Sensitivity (AS)</t>
  </si>
  <si>
    <r>
      <t>Number of Structures (</t>
    </r>
    <r>
      <rPr>
        <i/>
        <sz val="11"/>
        <rFont val="Calibri"/>
        <family val="2"/>
      </rPr>
      <t>f</t>
    </r>
    <r>
      <rPr>
        <sz val="11"/>
        <rFont val="Calibri"/>
        <family val="2"/>
      </rPr>
      <t>)</t>
    </r>
  </si>
  <si>
    <r>
      <t>(14) From USEPA 2002 - J'</t>
    </r>
    <r>
      <rPr>
        <vertAlign val="subscript"/>
        <sz val="9.5"/>
        <rFont val="Times New Roman"/>
        <family val="1"/>
      </rPr>
      <t>T OFF</t>
    </r>
    <r>
      <rPr>
        <sz val="9.5"/>
        <rFont val="Times New Roman"/>
        <family val="1"/>
      </rPr>
      <t xml:space="preserve"> = (M</t>
    </r>
    <r>
      <rPr>
        <vertAlign val="subscript"/>
        <sz val="9.5"/>
        <rFont val="Times New Roman"/>
        <family val="1"/>
      </rPr>
      <t>wind</t>
    </r>
    <r>
      <rPr>
        <sz val="9.5"/>
        <rFont val="Times New Roman"/>
        <family val="1"/>
      </rPr>
      <t xml:space="preserve"> M</t>
    </r>
    <r>
      <rPr>
        <vertAlign val="subscript"/>
        <sz val="9.5"/>
        <rFont val="Times New Roman"/>
        <family val="1"/>
      </rPr>
      <t>excav</t>
    </r>
    <r>
      <rPr>
        <sz val="9.5"/>
        <rFont val="Times New Roman"/>
        <family val="1"/>
      </rPr>
      <t xml:space="preserve"> </t>
    </r>
    <r>
      <rPr>
        <sz val="9.5"/>
        <rFont val="Symbol"/>
        <family val="1"/>
      </rPr>
      <t>+</t>
    </r>
    <r>
      <rPr>
        <sz val="9.5"/>
        <rFont val="Times New Roman"/>
        <family val="1"/>
      </rPr>
      <t xml:space="preserve"> M</t>
    </r>
    <r>
      <rPr>
        <vertAlign val="subscript"/>
        <sz val="9.5"/>
        <rFont val="Times New Roman"/>
        <family val="1"/>
      </rPr>
      <t>doz</t>
    </r>
    <r>
      <rPr>
        <sz val="9.5"/>
        <rFont val="Times New Roman"/>
        <family val="1"/>
      </rPr>
      <t xml:space="preserve"> </t>
    </r>
    <r>
      <rPr>
        <sz val="9.5"/>
        <rFont val="Symbol"/>
        <family val="1"/>
      </rPr>
      <t>+</t>
    </r>
    <r>
      <rPr>
        <sz val="9.5"/>
        <rFont val="Times New Roman"/>
        <family val="1"/>
      </rPr>
      <t xml:space="preserve"> M</t>
    </r>
    <r>
      <rPr>
        <vertAlign val="subscript"/>
        <sz val="9.5"/>
        <rFont val="Times New Roman"/>
        <family val="1"/>
      </rPr>
      <t>grade</t>
    </r>
    <r>
      <rPr>
        <sz val="9.5"/>
        <rFont val="Times New Roman"/>
        <family val="1"/>
      </rPr>
      <t xml:space="preserve"> </t>
    </r>
    <r>
      <rPr>
        <sz val="9.5"/>
        <rFont val="Symbol"/>
        <family val="1"/>
      </rPr>
      <t>+</t>
    </r>
    <r>
      <rPr>
        <sz val="9.5"/>
        <rFont val="Times New Roman"/>
        <family val="1"/>
      </rPr>
      <t xml:space="preserve"> M</t>
    </r>
    <r>
      <rPr>
        <vertAlign val="subscript"/>
        <sz val="9.5"/>
        <rFont val="Times New Roman"/>
        <family val="1"/>
      </rPr>
      <t>till</t>
    </r>
    <r>
      <rPr>
        <sz val="9.5"/>
        <rFont val="Times New Roman"/>
        <family val="1"/>
      </rPr>
      <t>)/(A</t>
    </r>
    <r>
      <rPr>
        <vertAlign val="subscript"/>
        <sz val="9.5"/>
        <rFont val="Times New Roman"/>
        <family val="1"/>
      </rPr>
      <t>surf</t>
    </r>
    <r>
      <rPr>
        <sz val="9.5"/>
        <rFont val="Times New Roman"/>
        <family val="1"/>
      </rPr>
      <t xml:space="preserve"> </t>
    </r>
    <r>
      <rPr>
        <sz val="9.5"/>
        <rFont val="Symbol"/>
        <family val="1"/>
      </rPr>
      <t>´</t>
    </r>
    <r>
      <rPr>
        <sz val="9.5"/>
        <rFont val="Times New Roman"/>
        <family val="1"/>
      </rPr>
      <t xml:space="preserve"> T).</t>
    </r>
  </si>
  <si>
    <r>
      <t>(15) From USEPA 2002 - Q/C</t>
    </r>
    <r>
      <rPr>
        <vertAlign val="subscript"/>
        <sz val="9.5"/>
        <rFont val="Times New Roman"/>
        <family val="1"/>
      </rPr>
      <t>OFF</t>
    </r>
    <r>
      <rPr>
        <sz val="9.5"/>
        <rFont val="Times New Roman"/>
        <family val="1"/>
      </rPr>
      <t xml:space="preserve"> = A </t>
    </r>
    <r>
      <rPr>
        <sz val="9.5"/>
        <rFont val="Symbol"/>
        <family val="1"/>
      </rPr>
      <t>´</t>
    </r>
    <r>
      <rPr>
        <sz val="9.5"/>
        <rFont val="Times New Roman"/>
        <family val="1"/>
      </rPr>
      <t xml:space="preserve"> exp[(ln(A</t>
    </r>
    <r>
      <rPr>
        <vertAlign val="subscript"/>
        <sz val="9.5"/>
        <rFont val="Times New Roman"/>
        <family val="1"/>
      </rPr>
      <t>surf</t>
    </r>
    <r>
      <rPr>
        <sz val="9.5"/>
        <rFont val="Times New Roman"/>
        <family val="1"/>
      </rPr>
      <t xml:space="preserve">) </t>
    </r>
    <r>
      <rPr>
        <sz val="9.5"/>
        <rFont val="Symbol"/>
        <family val="1"/>
      </rPr>
      <t>-</t>
    </r>
    <r>
      <rPr>
        <sz val="9.5"/>
        <rFont val="Times New Roman"/>
        <family val="1"/>
      </rPr>
      <t xml:space="preserve"> B)</t>
    </r>
    <r>
      <rPr>
        <vertAlign val="superscript"/>
        <sz val="9.5"/>
        <rFont val="Times New Roman"/>
        <family val="1"/>
      </rPr>
      <t>2</t>
    </r>
    <r>
      <rPr>
        <sz val="9.5"/>
        <rFont val="Times New Roman"/>
        <family val="1"/>
      </rPr>
      <t>/C].</t>
    </r>
  </si>
  <si>
    <t>Constant A</t>
  </si>
  <si>
    <t>Constant B</t>
  </si>
  <si>
    <t>Constant C</t>
  </si>
  <si>
    <t>Analytical</t>
  </si>
  <si>
    <t>Sensitivity</t>
  </si>
  <si>
    <t>&gt;10µm</t>
  </si>
  <si>
    <r>
      <t>(10</t>
    </r>
    <r>
      <rPr>
        <b/>
        <vertAlign val="superscript"/>
        <sz val="12"/>
        <rFont val="Times New Roman"/>
        <family val="1"/>
      </rPr>
      <t>6</t>
    </r>
    <r>
      <rPr>
        <b/>
        <sz val="12"/>
        <rFont val="Times New Roman"/>
        <family val="1"/>
      </rPr>
      <t xml:space="preserve"> s/gPM</t>
    </r>
    <r>
      <rPr>
        <b/>
        <vertAlign val="subscript"/>
        <sz val="12"/>
        <rFont val="Times New Roman"/>
        <family val="1"/>
      </rPr>
      <t>10</t>
    </r>
    <r>
      <rPr>
        <b/>
        <sz val="12"/>
        <rFont val="Times New Roman"/>
        <family val="1"/>
      </rPr>
      <t>)</t>
    </r>
  </si>
  <si>
    <r>
      <t>Average depth of site excavation</t>
    </r>
    <r>
      <rPr>
        <vertAlign val="superscript"/>
        <sz val="10"/>
        <rFont val="Times New Roman"/>
        <family val="1"/>
      </rPr>
      <t>(2)</t>
    </r>
  </si>
  <si>
    <r>
      <t>Soil silt content %</t>
    </r>
    <r>
      <rPr>
        <vertAlign val="superscript"/>
        <sz val="10"/>
        <rFont val="Times New Roman"/>
        <family val="1"/>
      </rPr>
      <t>(7)</t>
    </r>
  </si>
  <si>
    <r>
      <t>Gravimetric Soil Moisture Content %</t>
    </r>
    <r>
      <rPr>
        <vertAlign val="superscript"/>
        <sz val="10"/>
        <rFont val="Times New Roman"/>
        <family val="1"/>
      </rPr>
      <t>(8)</t>
    </r>
  </si>
  <si>
    <r>
      <t>Average dozing speed</t>
    </r>
    <r>
      <rPr>
        <vertAlign val="superscript"/>
        <sz val="10"/>
        <rFont val="Times New Roman"/>
        <family val="1"/>
      </rPr>
      <t>(2)</t>
    </r>
  </si>
  <si>
    <r>
      <t>Average grading speed</t>
    </r>
    <r>
      <rPr>
        <vertAlign val="superscript"/>
        <sz val="10"/>
        <rFont val="Times New Roman"/>
        <family val="1"/>
      </rPr>
      <t>(2)</t>
    </r>
  </si>
  <si>
    <r>
      <t>Sum grading kilometers traveled</t>
    </r>
    <r>
      <rPr>
        <vertAlign val="superscript"/>
        <sz val="10"/>
        <rFont val="Times New Roman"/>
        <family val="1"/>
      </rPr>
      <t>(12)</t>
    </r>
  </si>
  <si>
    <r>
      <t>Surface area of contaminated road segment</t>
    </r>
    <r>
      <rPr>
        <vertAlign val="superscript"/>
        <sz val="10"/>
        <rFont val="Times New Roman"/>
        <family val="1"/>
      </rPr>
      <t>(19)</t>
    </r>
  </si>
  <si>
    <r>
      <t>Road surface silt content %</t>
    </r>
    <r>
      <rPr>
        <vertAlign val="superscript"/>
        <sz val="10"/>
        <rFont val="Times New Roman"/>
        <family val="1"/>
      </rPr>
      <t>(20)</t>
    </r>
  </si>
  <si>
    <r>
      <t>M</t>
    </r>
    <r>
      <rPr>
        <vertAlign val="subscript"/>
        <sz val="10"/>
        <rFont val="Times New Roman"/>
        <family val="1"/>
      </rPr>
      <t>dry</t>
    </r>
  </si>
  <si>
    <r>
      <t>Number of days/year with at least 0.01 inches of precipitation</t>
    </r>
    <r>
      <rPr>
        <vertAlign val="superscript"/>
        <sz val="10"/>
        <rFont val="Times New Roman"/>
        <family val="1"/>
      </rPr>
      <t>(3)</t>
    </r>
  </si>
  <si>
    <r>
      <t>Sum of fleet vehicle kilometers traveled during the exposure duration</t>
    </r>
    <r>
      <rPr>
        <vertAlign val="superscript"/>
        <sz val="10"/>
        <rFont val="Times New Roman"/>
        <family val="1"/>
      </rPr>
      <t>(21)</t>
    </r>
  </si>
  <si>
    <r>
      <t>Total Time Averaged PM</t>
    </r>
    <r>
      <rPr>
        <b/>
        <vertAlign val="subscript"/>
        <sz val="10"/>
        <rFont val="Times New Roman"/>
        <family val="1"/>
      </rPr>
      <t>10</t>
    </r>
    <r>
      <rPr>
        <b/>
        <sz val="10"/>
        <rFont val="Times New Roman"/>
        <family val="1"/>
      </rPr>
      <t xml:space="preserve"> Emission for off-site receptor</t>
    </r>
    <r>
      <rPr>
        <b/>
        <vertAlign val="superscript"/>
        <sz val="10"/>
        <rFont val="Times New Roman"/>
        <family val="1"/>
      </rPr>
      <t>(14)</t>
    </r>
  </si>
  <si>
    <r>
      <t>default value</t>
    </r>
    <r>
      <rPr>
        <i/>
        <vertAlign val="superscript"/>
        <sz val="11"/>
        <color indexed="8"/>
        <rFont val="Calibri"/>
        <family val="2"/>
      </rPr>
      <t>(1)</t>
    </r>
  </si>
  <si>
    <r>
      <t>Post-Construction fugitive dust from wind erosion</t>
    </r>
    <r>
      <rPr>
        <b/>
        <vertAlign val="superscript"/>
        <sz val="10"/>
        <rFont val="Times New Roman"/>
        <family val="1"/>
      </rPr>
      <t>(1)</t>
    </r>
  </si>
  <si>
    <t>ESTIMATED RISK</t>
  </si>
  <si>
    <t>R-factor Calculations (Equation 31 in Guidance Document)</t>
  </si>
  <si>
    <t>Unit Risk Factor Calculations (Equation 30 in Guidance Document)</t>
  </si>
  <si>
    <r>
      <t>A, B, and C constants for calculating Q/C</t>
    </r>
    <r>
      <rPr>
        <i/>
        <vertAlign val="subscript"/>
        <sz val="11"/>
        <color indexed="8"/>
        <rFont val="Calibri"/>
        <family val="2"/>
      </rPr>
      <t>wind</t>
    </r>
    <r>
      <rPr>
        <i/>
        <vertAlign val="superscript"/>
        <sz val="11"/>
        <color indexed="8"/>
        <rFont val="Calibri"/>
        <family val="2"/>
      </rPr>
      <t>1</t>
    </r>
  </si>
  <si>
    <r>
      <t>A, B, and C constants for calculating Q/C</t>
    </r>
    <r>
      <rPr>
        <i/>
        <vertAlign val="subscript"/>
        <sz val="11"/>
        <color indexed="8"/>
        <rFont val="Calibri"/>
        <family val="2"/>
      </rPr>
      <t>OFF</t>
    </r>
    <r>
      <rPr>
        <i/>
        <vertAlign val="superscript"/>
        <sz val="11"/>
        <color indexed="8"/>
        <rFont val="Calibri"/>
        <family val="2"/>
      </rPr>
      <t>2</t>
    </r>
  </si>
  <si>
    <r>
      <t>2</t>
    </r>
    <r>
      <rPr>
        <sz val="11"/>
        <color indexed="8"/>
        <rFont val="Calibri"/>
        <family val="2"/>
      </rPr>
      <t xml:space="preserve"> Constants A, B, and C derived from Appendix E, Exhibit E-5 from U.S. EPA (2002)</t>
    </r>
  </si>
  <si>
    <r>
      <t>1</t>
    </r>
    <r>
      <rPr>
        <sz val="11"/>
        <color indexed="8"/>
        <rFont val="Calibri"/>
        <family val="2"/>
      </rPr>
      <t xml:space="preserve"> Constants A, B, and C derived from Appendix E, Exhibit E-3 from U.S. EPA (2002)</t>
    </r>
  </si>
  <si>
    <r>
      <t>(18) From USEPA 2002 - VKT</t>
    </r>
    <r>
      <rPr>
        <vertAlign val="subscript"/>
        <sz val="9.5"/>
        <rFont val="Times New Roman"/>
        <family val="1"/>
      </rPr>
      <t>road</t>
    </r>
    <r>
      <rPr>
        <sz val="9.5"/>
        <rFont val="Times New Roman"/>
        <family val="1"/>
      </rPr>
      <t xml:space="preserve"> = 30 vehicles </t>
    </r>
    <r>
      <rPr>
        <sz val="9.5"/>
        <rFont val="Symbol"/>
        <family val="1"/>
      </rPr>
      <t>´</t>
    </r>
    <r>
      <rPr>
        <sz val="9.5"/>
        <rFont val="Times New Roman"/>
        <family val="1"/>
      </rPr>
      <t xml:space="preserve"> L</t>
    </r>
    <r>
      <rPr>
        <vertAlign val="subscript"/>
        <sz val="9.5"/>
        <rFont val="Times New Roman"/>
        <family val="1"/>
      </rPr>
      <t>R</t>
    </r>
    <r>
      <rPr>
        <sz val="9.5"/>
        <rFont val="Times New Roman"/>
        <family val="1"/>
      </rPr>
      <t xml:space="preserve"> </t>
    </r>
    <r>
      <rPr>
        <sz val="9.5"/>
        <rFont val="Symbol"/>
        <family val="1"/>
      </rPr>
      <t>´</t>
    </r>
    <r>
      <rPr>
        <sz val="9.5"/>
        <rFont val="Times New Roman"/>
        <family val="1"/>
      </rPr>
      <t xml:space="preserve"> [(52 wks/yr)/2] </t>
    </r>
    <r>
      <rPr>
        <sz val="9.5"/>
        <rFont val="Symbol"/>
        <family val="1"/>
      </rPr>
      <t>´</t>
    </r>
    <r>
      <rPr>
        <sz val="9.5"/>
        <rFont val="Times New Roman"/>
        <family val="1"/>
      </rPr>
      <t xml:space="preserve"> (5 days/week) / (1000 m/km).</t>
    </r>
  </si>
  <si>
    <r>
      <t>Sum of fleet vehicle kilometers traveled during the exposure duration</t>
    </r>
    <r>
      <rPr>
        <vertAlign val="superscript"/>
        <sz val="10"/>
        <rFont val="Times New Roman"/>
        <family val="1"/>
      </rPr>
      <t>(18)</t>
    </r>
  </si>
  <si>
    <r>
      <t>Length of road segment</t>
    </r>
    <r>
      <rPr>
        <vertAlign val="superscript"/>
        <sz val="10"/>
        <rFont val="Times New Roman"/>
        <family val="1"/>
      </rPr>
      <t>(16)</t>
    </r>
  </si>
  <si>
    <t>(16) Assumed value of the square root of the site area, based upon USEPA (2002).</t>
  </si>
  <si>
    <t>(1) Assumed value for the site based upon USEPA (2002). Supplemental Guidance for Developing Soil Screening Levels for Superfund Sites.</t>
  </si>
  <si>
    <r>
      <t>Fraction of vegetative cover</t>
    </r>
    <r>
      <rPr>
        <vertAlign val="superscript"/>
        <sz val="10"/>
        <rFont val="Times New Roman"/>
        <family val="1"/>
      </rPr>
      <t>(1)</t>
    </r>
  </si>
  <si>
    <r>
      <t>Equivalent threshold value of wind speed</t>
    </r>
    <r>
      <rPr>
        <vertAlign val="superscript"/>
        <sz val="10"/>
        <rFont val="Times New Roman"/>
        <family val="1"/>
      </rPr>
      <t>(1)</t>
    </r>
  </si>
  <si>
    <r>
      <t>Function dependent on U/U</t>
    </r>
    <r>
      <rPr>
        <vertAlign val="subscript"/>
        <sz val="10"/>
        <rFont val="Times New Roman"/>
        <family val="1"/>
      </rPr>
      <t>t</t>
    </r>
    <r>
      <rPr>
        <vertAlign val="superscript"/>
        <sz val="10"/>
        <rFont val="Times New Roman"/>
        <family val="1"/>
      </rPr>
      <t>(1)</t>
    </r>
  </si>
  <si>
    <r>
      <t>Constant A</t>
    </r>
    <r>
      <rPr>
        <vertAlign val="superscript"/>
        <sz val="10"/>
        <rFont val="Times New Roman"/>
        <family val="1"/>
      </rPr>
      <t>(1)</t>
    </r>
  </si>
  <si>
    <r>
      <t>Constant B</t>
    </r>
    <r>
      <rPr>
        <vertAlign val="superscript"/>
        <sz val="10"/>
        <rFont val="Times New Roman"/>
        <family val="1"/>
      </rPr>
      <t>(1)</t>
    </r>
  </si>
  <si>
    <r>
      <t>Constant C</t>
    </r>
    <r>
      <rPr>
        <vertAlign val="superscript"/>
        <sz val="10"/>
        <rFont val="Times New Roman"/>
        <family val="1"/>
      </rPr>
      <t>(1)</t>
    </r>
  </si>
  <si>
    <r>
      <t>Mean annual wind speed</t>
    </r>
    <r>
      <rPr>
        <vertAlign val="superscript"/>
        <sz val="10"/>
        <rFont val="Times New Roman"/>
        <family val="1"/>
      </rPr>
      <t>(2)</t>
    </r>
  </si>
  <si>
    <t>(2) Based on long-term weather data for the area of interest - this value can change based on site specific characteristics</t>
  </si>
  <si>
    <r>
      <t>Areal Extent of site surface contamination</t>
    </r>
    <r>
      <rPr>
        <vertAlign val="superscript"/>
        <sz val="10"/>
        <rFont val="Times New Roman"/>
        <family val="1"/>
      </rPr>
      <t>(3)</t>
    </r>
  </si>
  <si>
    <r>
      <t>Air Dispersion Factor for Area Source</t>
    </r>
    <r>
      <rPr>
        <b/>
        <vertAlign val="superscript"/>
        <sz val="10"/>
        <rFont val="Times New Roman"/>
        <family val="1"/>
      </rPr>
      <t>(4)</t>
    </r>
  </si>
  <si>
    <r>
      <t>(4) From USEPA 2002 - Q/C</t>
    </r>
    <r>
      <rPr>
        <vertAlign val="subscript"/>
        <sz val="9.5"/>
        <rFont val="Times New Roman"/>
        <family val="1"/>
      </rPr>
      <t>sa</t>
    </r>
    <r>
      <rPr>
        <sz val="9.5"/>
        <rFont val="Times New Roman"/>
        <family val="1"/>
      </rPr>
      <t xml:space="preserve"> = A </t>
    </r>
    <r>
      <rPr>
        <sz val="9.5"/>
        <rFont val="Symbol"/>
        <family val="1"/>
      </rPr>
      <t>´</t>
    </r>
    <r>
      <rPr>
        <sz val="9.5"/>
        <rFont val="Times New Roman"/>
        <family val="1"/>
      </rPr>
      <t xml:space="preserve"> exp[(ln(A</t>
    </r>
    <r>
      <rPr>
        <vertAlign val="subscript"/>
        <sz val="9.5"/>
        <rFont val="Times New Roman"/>
        <family val="1"/>
      </rPr>
      <t>surf</t>
    </r>
    <r>
      <rPr>
        <sz val="9.5"/>
        <rFont val="Times New Roman"/>
        <family val="1"/>
      </rPr>
      <t xml:space="preserve">) </t>
    </r>
    <r>
      <rPr>
        <sz val="9.5"/>
        <rFont val="Symbol"/>
        <family val="1"/>
      </rPr>
      <t>-</t>
    </r>
    <r>
      <rPr>
        <sz val="9.5"/>
        <rFont val="Times New Roman"/>
        <family val="1"/>
      </rPr>
      <t xml:space="preserve"> B)</t>
    </r>
    <r>
      <rPr>
        <vertAlign val="superscript"/>
        <sz val="9.5"/>
        <rFont val="Times New Roman"/>
        <family val="1"/>
      </rPr>
      <t>2</t>
    </r>
    <r>
      <rPr>
        <sz val="9.5"/>
        <rFont val="Times New Roman"/>
        <family val="1"/>
      </rPr>
      <t>/C].</t>
    </r>
  </si>
  <si>
    <t>Site Specific Constant - Select from 'QC Equation Constants' tab</t>
  </si>
  <si>
    <r>
      <t>Commercial/Industrial Worker PEF</t>
    </r>
    <r>
      <rPr>
        <b/>
        <vertAlign val="superscript"/>
        <sz val="10"/>
        <rFont val="Times New Roman"/>
        <family val="1"/>
      </rPr>
      <t>(5)</t>
    </r>
  </si>
  <si>
    <r>
      <t>Total outdoor ambient air dust concentration</t>
    </r>
    <r>
      <rPr>
        <b/>
        <vertAlign val="superscript"/>
        <sz val="10"/>
        <rFont val="Times New Roman"/>
        <family val="1"/>
      </rPr>
      <t>(6)</t>
    </r>
  </si>
  <si>
    <r>
      <t>(6) D</t>
    </r>
    <r>
      <rPr>
        <vertAlign val="subscript"/>
        <sz val="9.5"/>
        <rFont val="Times New Roman"/>
        <family val="1"/>
      </rPr>
      <t>worker</t>
    </r>
    <r>
      <rPr>
        <sz val="9.5"/>
        <rFont val="Times New Roman"/>
        <family val="1"/>
      </rPr>
      <t xml:space="preserve"> = 1/PEF</t>
    </r>
    <r>
      <rPr>
        <vertAlign val="subscript"/>
        <sz val="9.5"/>
        <rFont val="Times New Roman"/>
        <family val="1"/>
      </rPr>
      <t>Worker</t>
    </r>
  </si>
  <si>
    <r>
      <t>(21) D</t>
    </r>
    <r>
      <rPr>
        <vertAlign val="subscript"/>
        <sz val="9.5"/>
        <rFont val="Times New Roman"/>
        <family val="1"/>
      </rPr>
      <t>OFF</t>
    </r>
    <r>
      <rPr>
        <sz val="9.5"/>
        <rFont val="Times New Roman"/>
        <family val="1"/>
      </rPr>
      <t xml:space="preserve"> = 1/PEF</t>
    </r>
    <r>
      <rPr>
        <vertAlign val="subscript"/>
        <sz val="9.5"/>
        <rFont val="Times New Roman"/>
        <family val="1"/>
      </rPr>
      <t>OFF</t>
    </r>
  </si>
  <si>
    <t>m/day</t>
  </si>
  <si>
    <r>
      <t>PEF</t>
    </r>
    <r>
      <rPr>
        <b/>
        <vertAlign val="subscript"/>
        <sz val="10"/>
        <rFont val="Times New Roman"/>
        <family val="1"/>
      </rPr>
      <t>Onsite Resident</t>
    </r>
  </si>
  <si>
    <r>
      <t>(5) From USEPA 2002 - PEF</t>
    </r>
    <r>
      <rPr>
        <vertAlign val="subscript"/>
        <sz val="9.5"/>
        <rFont val="Times New Roman"/>
        <family val="1"/>
      </rPr>
      <t>Worker</t>
    </r>
    <r>
      <rPr>
        <sz val="9.5"/>
        <rFont val="Times New Roman"/>
        <family val="1"/>
      </rPr>
      <t xml:space="preserve"> = Q/C</t>
    </r>
    <r>
      <rPr>
        <vertAlign val="subscript"/>
        <sz val="9.5"/>
        <rFont val="Times New Roman"/>
        <family val="1"/>
      </rPr>
      <t>wind</t>
    </r>
    <r>
      <rPr>
        <sz val="9.5"/>
        <rFont val="Times New Roman"/>
        <family val="1"/>
      </rPr>
      <t xml:space="preserve"> * (3600/(0.036*(1-V)*((U</t>
    </r>
    <r>
      <rPr>
        <vertAlign val="subscript"/>
        <sz val="9.5"/>
        <rFont val="Times New Roman"/>
        <family val="1"/>
      </rPr>
      <t>m</t>
    </r>
    <r>
      <rPr>
        <sz val="9.5"/>
        <rFont val="Times New Roman"/>
        <family val="1"/>
      </rPr>
      <t>/U</t>
    </r>
    <r>
      <rPr>
        <vertAlign val="subscript"/>
        <sz val="9.5"/>
        <rFont val="Times New Roman"/>
        <family val="1"/>
      </rPr>
      <t>t</t>
    </r>
    <r>
      <rPr>
        <sz val="9.5"/>
        <rFont val="Times New Roman"/>
        <family val="1"/>
      </rPr>
      <t>)^3)*F(x)))</t>
    </r>
  </si>
  <si>
    <t>(5) Construction worker exposure duration.</t>
  </si>
  <si>
    <r>
      <t>(25) D</t>
    </r>
    <r>
      <rPr>
        <vertAlign val="subscript"/>
        <sz val="9.5"/>
        <rFont val="Times New Roman"/>
        <family val="1"/>
      </rPr>
      <t>construct</t>
    </r>
    <r>
      <rPr>
        <sz val="9.5"/>
        <rFont val="Times New Roman"/>
        <family val="1"/>
      </rPr>
      <t xml:space="preserve"> = 1/PEF</t>
    </r>
    <r>
      <rPr>
        <vertAlign val="subscript"/>
        <sz val="9.5"/>
        <rFont val="Times New Roman"/>
        <family val="1"/>
      </rPr>
      <t>sc_total</t>
    </r>
    <r>
      <rPr>
        <sz val="9.5"/>
        <rFont val="Times New Roman"/>
        <family val="1"/>
      </rPr>
      <t>.</t>
    </r>
  </si>
  <si>
    <t>Note that inputs in these worksheets that have a dark green background must be provided site specifically (e.g., Areal extent of site surface contamination in Cell D50 on this worksheet).</t>
  </si>
  <si>
    <t>Inputs that have no fill for background should not be changed.</t>
  </si>
  <si>
    <t>Input for number of structures is in worksheet 'Data and Analytical Sensitivity', and are calculated based on site data</t>
  </si>
  <si>
    <t>Input for AS is in worksheet 'Data and Analytical Sensitivity', and is calculated based on site data</t>
  </si>
  <si>
    <r>
      <t>D</t>
    </r>
    <r>
      <rPr>
        <b/>
        <vertAlign val="subscript"/>
        <sz val="10"/>
        <rFont val="Times New Roman"/>
        <family val="1"/>
      </rPr>
      <t>Onsite Resident</t>
    </r>
  </si>
  <si>
    <t>Parameters and Calculation of Total Outdoor Ambient Air Dust Concentration</t>
  </si>
  <si>
    <t>Asbestos Risk Calculations</t>
  </si>
  <si>
    <t>Unit Risk Factor (Amphibole URF)</t>
  </si>
  <si>
    <t>URF Adjustment Factor</t>
  </si>
  <si>
    <r>
      <t>Chrysotile C</t>
    </r>
    <r>
      <rPr>
        <vertAlign val="subscript"/>
        <sz val="11"/>
        <color indexed="8"/>
        <rFont val="Calibri"/>
        <family val="2"/>
      </rPr>
      <t>soil</t>
    </r>
    <r>
      <rPr>
        <sz val="11"/>
        <color indexed="8"/>
        <rFont val="Calibri"/>
        <family val="2"/>
      </rPr>
      <t xml:space="preserve">  (=</t>
    </r>
    <r>
      <rPr>
        <i/>
        <sz val="11"/>
        <color indexed="8"/>
        <rFont val="Calibri"/>
        <family val="2"/>
      </rPr>
      <t xml:space="preserve"> f * AS</t>
    </r>
    <r>
      <rPr>
        <sz val="11"/>
        <color indexed="8"/>
        <rFont val="Calibri"/>
        <family val="2"/>
      </rPr>
      <t>)</t>
    </r>
  </si>
  <si>
    <r>
      <t>Amphibole C</t>
    </r>
    <r>
      <rPr>
        <vertAlign val="subscript"/>
        <sz val="11"/>
        <color indexed="8"/>
        <rFont val="Calibri"/>
        <family val="2"/>
      </rPr>
      <t>soil</t>
    </r>
    <r>
      <rPr>
        <sz val="11"/>
        <color indexed="8"/>
        <rFont val="Calibri"/>
        <family val="2"/>
      </rPr>
      <t xml:space="preserve">  (=</t>
    </r>
    <r>
      <rPr>
        <i/>
        <sz val="11"/>
        <color indexed="8"/>
        <rFont val="Calibri"/>
        <family val="2"/>
      </rPr>
      <t xml:space="preserve"> f * AS</t>
    </r>
    <r>
      <rPr>
        <sz val="11"/>
        <color indexed="8"/>
        <rFont val="Calibri"/>
        <family val="2"/>
      </rPr>
      <t>)</t>
    </r>
  </si>
  <si>
    <t>target risk (TR)</t>
  </si>
  <si>
    <r>
      <t>(f/cm3)</t>
    </r>
    <r>
      <rPr>
        <vertAlign val="superscript"/>
        <sz val="11"/>
        <color indexed="8"/>
        <rFont val="Calibri"/>
        <family val="2"/>
      </rPr>
      <t>-1</t>
    </r>
  </si>
  <si>
    <r>
      <t>cm</t>
    </r>
    <r>
      <rPr>
        <vertAlign val="superscript"/>
        <sz val="11"/>
        <rFont val="Calibri"/>
        <family val="2"/>
      </rPr>
      <t>3</t>
    </r>
    <r>
      <rPr>
        <sz val="11"/>
        <rFont val="Calibri"/>
        <family val="2"/>
      </rPr>
      <t>/µg</t>
    </r>
  </si>
  <si>
    <t>hrs</t>
  </si>
  <si>
    <t>hr/day</t>
  </si>
  <si>
    <t>f/g PM10</t>
  </si>
  <si>
    <t>Onsite Resident</t>
  </si>
  <si>
    <t>1- (Upper Confidence Percentile)</t>
  </si>
  <si>
    <t>fiber count</t>
  </si>
  <si>
    <t>Poisson 95UCL of fiber count</t>
  </si>
  <si>
    <t>minimum sample size; chrysotile</t>
  </si>
  <si>
    <t>minimum sample size; amphibole</t>
  </si>
  <si>
    <t>Zero Measured Fibers</t>
  </si>
  <si>
    <t>target pooled AS; chrysotile</t>
  </si>
  <si>
    <t>target pooled AS; amphibole</t>
  </si>
  <si>
    <t>sample AS (f/g PM10)</t>
  </si>
  <si>
    <t>One Measured Fiber</t>
  </si>
  <si>
    <t>Two Measured Fibers</t>
  </si>
  <si>
    <t>BCL</t>
  </si>
  <si>
    <t>f/µg PM10</t>
  </si>
  <si>
    <r>
      <t>Fugitive dust from excavation soil dumping</t>
    </r>
    <r>
      <rPr>
        <b/>
        <vertAlign val="superscript"/>
        <sz val="10"/>
        <rFont val="Times New Roman"/>
        <family val="1"/>
      </rPr>
      <t>(6)</t>
    </r>
  </si>
  <si>
    <r>
      <t>In situ wet soil bulk density</t>
    </r>
    <r>
      <rPr>
        <vertAlign val="superscript"/>
        <sz val="10"/>
        <rFont val="Times New Roman"/>
        <family val="1"/>
      </rPr>
      <t>(7)</t>
    </r>
  </si>
  <si>
    <t>Note: These values are taken from the receptor-specific PEF spreadsheets</t>
  </si>
  <si>
    <t>Pooled Analytical Sensitivity = 1 x (1/ Σ(1/single sample analytical sensitivity))</t>
  </si>
  <si>
    <t>Number of vehicles for duration of construction</t>
  </si>
  <si>
    <r>
      <t>N</t>
    </r>
    <r>
      <rPr>
        <vertAlign val="subscript"/>
        <sz val="10"/>
        <rFont val="Times New Roman"/>
        <family val="1"/>
      </rPr>
      <t>V</t>
    </r>
  </si>
  <si>
    <t>vehicles</t>
  </si>
  <si>
    <t>Length of road traveled per day</t>
  </si>
  <si>
    <r>
      <t>L</t>
    </r>
    <r>
      <rPr>
        <vertAlign val="subscript"/>
        <sz val="10"/>
        <rFont val="Times New Roman"/>
        <family val="1"/>
      </rPr>
      <t>D</t>
    </r>
  </si>
  <si>
    <t>(7) This value can change based on site specific characteristics</t>
  </si>
  <si>
    <t>(8) This value can change based on site specific characteristics</t>
  </si>
  <si>
    <t>(4) Site area - this value can change based on site characteristics (change in Risk_Calculations tab)</t>
  </si>
  <si>
    <t>(3) Site area - this value can change based on site characteristics (Change in Risk_Calculations tab)</t>
  </si>
  <si>
    <t>Refer to NDEP Guidance document for detailed explanation</t>
  </si>
  <si>
    <t>Other inputs come from the supporting worksheets.  For example, there is a supporting worksheet for calculation of PEFs for each scenario, and QC input constants are provided in the 'QC Equation Constants' worksheet.</t>
  </si>
  <si>
    <r>
      <t>Road surface silt content %</t>
    </r>
    <r>
      <rPr>
        <vertAlign val="superscript"/>
        <sz val="10"/>
        <rFont val="Times New Roman"/>
        <family val="1"/>
      </rPr>
      <t>(17)</t>
    </r>
  </si>
  <si>
    <r>
      <t>Road surface material moisture content under dry, uncontrollable conditions</t>
    </r>
    <r>
      <rPr>
        <vertAlign val="superscript"/>
        <sz val="10"/>
        <rFont val="Times New Roman"/>
        <family val="1"/>
      </rPr>
      <t>(17)</t>
    </r>
  </si>
  <si>
    <t xml:space="preserve">(17) Average of site data </t>
  </si>
  <si>
    <t>Asbestos data should be input by the user in the worksheet 'Data and Analytical Sensitivity' - if the data are entered properly, then the pooled analytical sensitivity and the number of fibers are brought into this worksheet.</t>
  </si>
  <si>
    <t>The worksheet 'BCL Asbestos' is, instead, a planning worksheet.  The number of asbestos samples needed to satisfy some DQO constraints can be calculated using this worksheet.</t>
  </si>
  <si>
    <t>Footnotes in the PEF spreadsheets that have a yellow background indicate variables that can be changed if site specific information is available.</t>
  </si>
  <si>
    <t>Inputs that have a light green background can be changed with concurrence from NDEP (e.g., Exposure parameters in rows 53-58 of this worksheet).</t>
  </si>
  <si>
    <t>This worksheet presents calculation of asbestos related risks.  Some inputs are contained in this worksheet, such as URFs and exposure parameters.</t>
  </si>
  <si>
    <r>
      <t>2</t>
    </r>
    <r>
      <rPr>
        <sz val="11"/>
        <color indexed="8"/>
        <rFont val="Calibri"/>
        <family val="2"/>
      </rPr>
      <t xml:space="preserve"> Unit risk adjustment factors are a summation of relative exposure intensity across scenarios but are not used in the risk calculations as a direct variable.  Because the risk calculations deal with soil concentrations rather than air concentrations, it was decided that exposure parameters be written out in their entirety in the risk equations.  Therefore the unit risk adjustment factors are included here as a reference point only.</t>
    </r>
  </si>
  <si>
    <t>Exposure Parameter References</t>
  </si>
  <si>
    <t>Refer to NDEP Guidance document for detailed explanation</t>
  </si>
  <si>
    <r>
      <t>Unit Risk Adjustment Factor (time on-site / effects averaging time)</t>
    </r>
    <r>
      <rPr>
        <b/>
        <i/>
        <vertAlign val="superscript"/>
        <sz val="11"/>
        <color indexed="8"/>
        <rFont val="Calibri"/>
        <family val="0"/>
      </rPr>
      <t>2</t>
    </r>
  </si>
  <si>
    <r>
      <rPr>
        <vertAlign val="superscript"/>
        <sz val="11"/>
        <color indexed="8"/>
        <rFont val="Calibri"/>
        <family val="2"/>
      </rPr>
      <t xml:space="preserve">1 </t>
    </r>
    <r>
      <rPr>
        <sz val="11"/>
        <color indexed="8"/>
        <rFont val="Calibri"/>
        <family val="2"/>
      </rPr>
      <t xml:space="preserve">The risk factors presented here are based on the Berman and Crump (2003) protocol.  This protocol assigns different potency factors to each ot the two general asbestos types (i.e., amphibole and chrysotile).  The values presented also assume that 50% of the structures will be longer than 10 um and that risks are averaged over the smokers and the non-smokers of the population.  It should be noted that the URFs presented here can only be applied to the structures satisfying the dimensional requirements defined for the recommended exposure index in Berman and Crump (2003).  </t>
    </r>
    <r>
      <rPr>
        <b/>
        <i/>
        <sz val="11"/>
        <color indexed="10"/>
        <rFont val="Calibri"/>
        <family val="2"/>
      </rPr>
      <t>APPLYING THESE RISK FACTORS TO ANY OTHER SIZE RANGE OF STRUCTURES IS NOT VALID!</t>
    </r>
  </si>
  <si>
    <r>
      <rPr>
        <sz val="9.5"/>
        <rFont val="Times New Roman"/>
        <family val="1"/>
      </rPr>
      <t>(19)</t>
    </r>
    <r>
      <rPr>
        <vertAlign val="superscript"/>
        <sz val="9.5"/>
        <rFont val="Times New Roman"/>
        <family val="1"/>
      </rPr>
      <t xml:space="preserve"> </t>
    </r>
    <r>
      <rPr>
        <sz val="9.5"/>
        <rFont val="Times New Roman"/>
        <family val="1"/>
      </rPr>
      <t>From USEPA 2002 - M</t>
    </r>
    <r>
      <rPr>
        <vertAlign val="subscript"/>
        <sz val="9.5"/>
        <rFont val="Times New Roman"/>
        <family val="1"/>
      </rPr>
      <t xml:space="preserve">road </t>
    </r>
    <r>
      <rPr>
        <sz val="9.5"/>
        <rFont val="Times New Roman"/>
        <family val="1"/>
      </rPr>
      <t>= [2.6</t>
    </r>
    <r>
      <rPr>
        <sz val="9.5"/>
        <rFont val="Symbol"/>
        <family val="1"/>
      </rPr>
      <t xml:space="preserve"> ´ </t>
    </r>
    <r>
      <rPr>
        <sz val="9.5"/>
        <rFont val="Times New Roman"/>
        <family val="1"/>
      </rPr>
      <t>(s/12)</t>
    </r>
    <r>
      <rPr>
        <vertAlign val="superscript"/>
        <sz val="9.5"/>
        <rFont val="Times New Roman"/>
        <family val="1"/>
      </rPr>
      <t>0.8</t>
    </r>
    <r>
      <rPr>
        <sz val="9.5"/>
        <rFont val="Times New Roman"/>
        <family val="1"/>
      </rPr>
      <t xml:space="preserve"> </t>
    </r>
    <r>
      <rPr>
        <sz val="9.5"/>
        <rFont val="Symbol"/>
        <family val="1"/>
      </rPr>
      <t>´</t>
    </r>
    <r>
      <rPr>
        <sz val="9.5"/>
        <rFont val="Times New Roman"/>
        <family val="1"/>
      </rPr>
      <t xml:space="preserve"> (W/3)</t>
    </r>
    <r>
      <rPr>
        <vertAlign val="superscript"/>
        <sz val="9.5"/>
        <rFont val="Times New Roman"/>
        <family val="1"/>
      </rPr>
      <t>0.4</t>
    </r>
    <r>
      <rPr>
        <sz val="9.5"/>
        <rFont val="Times New Roman"/>
        <family val="1"/>
      </rPr>
      <t>/(M/0.2)</t>
    </r>
    <r>
      <rPr>
        <vertAlign val="superscript"/>
        <sz val="9.5"/>
        <rFont val="Times New Roman"/>
        <family val="1"/>
      </rPr>
      <t>0.3</t>
    </r>
    <r>
      <rPr>
        <sz val="9.5"/>
        <rFont val="Times New Roman"/>
        <family val="1"/>
      </rPr>
      <t xml:space="preserve">] </t>
    </r>
    <r>
      <rPr>
        <sz val="9.5"/>
        <rFont val="Symbol"/>
        <family val="1"/>
      </rPr>
      <t>´</t>
    </r>
    <r>
      <rPr>
        <sz val="9.5"/>
        <rFont val="Times New Roman"/>
        <family val="1"/>
      </rPr>
      <t xml:space="preserve"> [(365-p)/365] </t>
    </r>
    <r>
      <rPr>
        <sz val="9.5"/>
        <rFont val="Symbol"/>
        <family val="1"/>
      </rPr>
      <t>´</t>
    </r>
    <r>
      <rPr>
        <sz val="9.5"/>
        <rFont val="Times New Roman"/>
        <family val="1"/>
      </rPr>
      <t xml:space="preserve"> 281.9 </t>
    </r>
    <r>
      <rPr>
        <sz val="9.5"/>
        <rFont val="Symbol"/>
        <family val="1"/>
      </rPr>
      <t>´</t>
    </r>
    <r>
      <rPr>
        <sz val="9.5"/>
        <rFont val="Times New Roman"/>
        <family val="1"/>
      </rPr>
      <t xml:space="preserve"> </t>
    </r>
    <r>
      <rPr>
        <sz val="9.5"/>
        <rFont val="Arial"/>
        <family val="2"/>
      </rPr>
      <t>∑</t>
    </r>
    <r>
      <rPr>
        <sz val="9.5"/>
        <rFont val="Times New Roman"/>
        <family val="1"/>
      </rPr>
      <t>VKT</t>
    </r>
    <r>
      <rPr>
        <vertAlign val="subscript"/>
        <sz val="9.5"/>
        <rFont val="Times New Roman"/>
        <family val="1"/>
      </rPr>
      <t>road</t>
    </r>
  </si>
  <si>
    <r>
      <t>Fugitive Dust from Traffic on Unpaved Roads</t>
    </r>
    <r>
      <rPr>
        <b/>
        <vertAlign val="superscript"/>
        <sz val="10"/>
        <rFont val="Times New Roman"/>
        <family val="1"/>
      </rPr>
      <t>(19)</t>
    </r>
  </si>
  <si>
    <r>
      <t>(20) PEF</t>
    </r>
    <r>
      <rPr>
        <vertAlign val="subscript"/>
        <sz val="9.5"/>
        <rFont val="Times New Roman"/>
        <family val="1"/>
      </rPr>
      <t>OFF</t>
    </r>
    <r>
      <rPr>
        <sz val="9.5"/>
        <rFont val="Times New Roman"/>
        <family val="1"/>
      </rPr>
      <t xml:space="preserve"> = Q/C</t>
    </r>
    <r>
      <rPr>
        <vertAlign val="subscript"/>
        <sz val="9.5"/>
        <rFont val="Times New Roman"/>
        <family val="1"/>
      </rPr>
      <t>OFF</t>
    </r>
    <r>
      <rPr>
        <sz val="9.5"/>
        <rFont val="Times New Roman"/>
        <family val="1"/>
      </rPr>
      <t xml:space="preserve"> *(1/J'</t>
    </r>
    <r>
      <rPr>
        <vertAlign val="subscript"/>
        <sz val="9.5"/>
        <rFont val="Times New Roman"/>
        <family val="1"/>
      </rPr>
      <t>T OFF</t>
    </r>
    <r>
      <rPr>
        <sz val="9.5"/>
        <rFont val="Times New Roman"/>
        <family val="1"/>
      </rPr>
      <t>)</t>
    </r>
  </si>
  <si>
    <r>
      <t>Offsite PEF</t>
    </r>
    <r>
      <rPr>
        <b/>
        <vertAlign val="superscript"/>
        <sz val="10"/>
        <rFont val="Times New Roman"/>
        <family val="1"/>
      </rPr>
      <t>(20)</t>
    </r>
  </si>
  <si>
    <r>
      <t>Total outdoor ambient air dust concentration</t>
    </r>
    <r>
      <rPr>
        <b/>
        <vertAlign val="superscript"/>
        <sz val="10"/>
        <rFont val="Times New Roman"/>
        <family val="1"/>
      </rPr>
      <t>(21)</t>
    </r>
  </si>
  <si>
    <r>
      <t>(6) D</t>
    </r>
    <r>
      <rPr>
        <vertAlign val="subscript"/>
        <sz val="9.5"/>
        <rFont val="Times New Roman"/>
        <family val="1"/>
      </rPr>
      <t>Onsite Resident</t>
    </r>
    <r>
      <rPr>
        <sz val="9.5"/>
        <rFont val="Times New Roman"/>
        <family val="1"/>
      </rPr>
      <t xml:space="preserve"> = 1/PEF</t>
    </r>
    <r>
      <rPr>
        <vertAlign val="subscript"/>
        <sz val="9.5"/>
        <rFont val="Times New Roman"/>
        <family val="1"/>
      </rPr>
      <t>Onsite Resident</t>
    </r>
  </si>
  <si>
    <t>Time of Exposure (ET)</t>
  </si>
  <si>
    <t>Particulate Emission Factor (PEF)</t>
  </si>
  <si>
    <t>Unit Risk Factor (Chrysotile URF)</t>
  </si>
  <si>
    <r>
      <t>R</t>
    </r>
    <r>
      <rPr>
        <vertAlign val="subscript"/>
        <sz val="12"/>
        <color indexed="8"/>
        <rFont val="Calibri"/>
        <family val="2"/>
      </rPr>
      <t>lung cancer</t>
    </r>
  </si>
  <si>
    <r>
      <t>R</t>
    </r>
    <r>
      <rPr>
        <vertAlign val="subscript"/>
        <sz val="12"/>
        <color indexed="8"/>
        <rFont val="Calibri"/>
        <family val="2"/>
      </rPr>
      <t>mesothelioma</t>
    </r>
  </si>
  <si>
    <r>
      <t>R</t>
    </r>
    <r>
      <rPr>
        <vertAlign val="subscript"/>
        <sz val="12"/>
        <color indexed="8"/>
        <rFont val="Calibri"/>
        <family val="2"/>
      </rPr>
      <t>combined</t>
    </r>
  </si>
  <si>
    <r>
      <t>URF</t>
    </r>
    <r>
      <rPr>
        <vertAlign val="subscript"/>
        <sz val="12"/>
        <color indexed="8"/>
        <rFont val="Calibri"/>
        <family val="2"/>
      </rPr>
      <t>lung cancer</t>
    </r>
  </si>
  <si>
    <r>
      <t>URF</t>
    </r>
    <r>
      <rPr>
        <vertAlign val="subscript"/>
        <sz val="12"/>
        <color indexed="8"/>
        <rFont val="Calibri"/>
        <family val="2"/>
      </rPr>
      <t>mesothelioma</t>
    </r>
  </si>
  <si>
    <r>
      <t>URF</t>
    </r>
    <r>
      <rPr>
        <vertAlign val="subscript"/>
        <sz val="12"/>
        <color indexed="8"/>
        <rFont val="Calibri"/>
        <family val="2"/>
      </rPr>
      <t>combined</t>
    </r>
  </si>
  <si>
    <t>GNC1-BD19</t>
  </si>
  <si>
    <t>GNC1-BD20</t>
  </si>
  <si>
    <t>GNC1-BD21</t>
  </si>
  <si>
    <t>GNC1-BE19</t>
  </si>
  <si>
    <t>GNC1-BE21</t>
  </si>
  <si>
    <t>GNC1-BE22</t>
  </si>
  <si>
    <t>GNC1-BF19</t>
  </si>
  <si>
    <t>GNC1-BF20</t>
  </si>
  <si>
    <t>GNC1-BF21</t>
  </si>
  <si>
    <t>GNC1-BF22</t>
  </si>
  <si>
    <t>GNC1-BG19</t>
  </si>
  <si>
    <t>GNC1-BG20</t>
  </si>
  <si>
    <t>GNC1-BG21</t>
  </si>
  <si>
    <t>GNC1-BG22</t>
  </si>
  <si>
    <t>GNC1-JD06</t>
  </si>
  <si>
    <t>GNC1-JD07</t>
  </si>
  <si>
    <t>GNC1-JD08</t>
  </si>
  <si>
    <t>GNC1-JD09</t>
  </si>
  <si>
    <t>GNC1-JD11</t>
  </si>
  <si>
    <t>GNC1-JS10</t>
  </si>
  <si>
    <t>GNC1-JS11</t>
  </si>
  <si>
    <t>GNC2-JD10</t>
  </si>
  <si>
    <t>GNC3-BE20C</t>
  </si>
  <si>
    <t>GNC3-JS09C</t>
  </si>
  <si>
    <t>(8) Based on the average of percent moisture across the site.</t>
  </si>
  <si>
    <t>(20) Average of surface soil percent moisture results.</t>
  </si>
  <si>
    <t>(1) Assumed value for the site based upon USEPA (2002b). Supplemental Guidance for Developing Soil Screening Levels for Superfund Sites.</t>
  </si>
  <si>
    <t>(2) Derived by averaging data from the Las Vegas Airport and Nellis AFB stations.</t>
  </si>
  <si>
    <t>(3) Site area.</t>
  </si>
  <si>
    <t>PARTICULATE EMISSION FACTOR (PEF) FOR ON-SITE RESIDENTIAL SCENARIO</t>
  </si>
  <si>
    <r>
      <t>(4) From USEPA 2002b - Q/C</t>
    </r>
    <r>
      <rPr>
        <vertAlign val="subscript"/>
        <sz val="9.5"/>
        <rFont val="Times New Roman"/>
        <family val="1"/>
      </rPr>
      <t>sa</t>
    </r>
    <r>
      <rPr>
        <sz val="9.5"/>
        <rFont val="Times New Roman"/>
        <family val="1"/>
      </rPr>
      <t xml:space="preserve"> = A </t>
    </r>
    <r>
      <rPr>
        <sz val="9.5"/>
        <rFont val="Symbol"/>
        <family val="1"/>
      </rPr>
      <t>´</t>
    </r>
    <r>
      <rPr>
        <sz val="9.5"/>
        <rFont val="Times New Roman"/>
        <family val="1"/>
      </rPr>
      <t xml:space="preserve"> exp[(ln(A</t>
    </r>
    <r>
      <rPr>
        <vertAlign val="subscript"/>
        <sz val="9.5"/>
        <rFont val="Times New Roman"/>
        <family val="1"/>
      </rPr>
      <t>surf</t>
    </r>
    <r>
      <rPr>
        <sz val="9.5"/>
        <rFont val="Times New Roman"/>
        <family val="1"/>
      </rPr>
      <t xml:space="preserve">) </t>
    </r>
    <r>
      <rPr>
        <sz val="9.5"/>
        <rFont val="Symbol"/>
        <family val="1"/>
      </rPr>
      <t>-</t>
    </r>
    <r>
      <rPr>
        <sz val="9.5"/>
        <rFont val="Times New Roman"/>
        <family val="1"/>
      </rPr>
      <t xml:space="preserve"> B)</t>
    </r>
    <r>
      <rPr>
        <vertAlign val="superscript"/>
        <sz val="9.5"/>
        <rFont val="Times New Roman"/>
        <family val="1"/>
      </rPr>
      <t>2</t>
    </r>
    <r>
      <rPr>
        <sz val="9.5"/>
        <rFont val="Times New Roman"/>
        <family val="1"/>
      </rPr>
      <t>/C].</t>
    </r>
  </si>
  <si>
    <r>
      <t>(5) From USEPA 2002b - PEF</t>
    </r>
    <r>
      <rPr>
        <vertAlign val="subscript"/>
        <sz val="9.5"/>
        <rFont val="Times New Roman"/>
        <family val="1"/>
      </rPr>
      <t>Onsite Resident</t>
    </r>
    <r>
      <rPr>
        <sz val="9.5"/>
        <rFont val="Times New Roman"/>
        <family val="1"/>
      </rPr>
      <t xml:space="preserve"> = Q/C</t>
    </r>
    <r>
      <rPr>
        <vertAlign val="subscript"/>
        <sz val="9.5"/>
        <rFont val="Times New Roman"/>
        <family val="1"/>
      </rPr>
      <t>wind</t>
    </r>
    <r>
      <rPr>
        <sz val="9.5"/>
        <rFont val="Times New Roman"/>
        <family val="1"/>
      </rPr>
      <t xml:space="preserve"> * (3600/(0.036*(1-V)*((U</t>
    </r>
    <r>
      <rPr>
        <vertAlign val="subscript"/>
        <sz val="9.5"/>
        <rFont val="Times New Roman"/>
        <family val="1"/>
      </rPr>
      <t>m</t>
    </r>
    <r>
      <rPr>
        <sz val="9.5"/>
        <rFont val="Times New Roman"/>
        <family val="1"/>
      </rPr>
      <t>/U</t>
    </r>
    <r>
      <rPr>
        <vertAlign val="subscript"/>
        <sz val="9.5"/>
        <rFont val="Times New Roman"/>
        <family val="1"/>
      </rPr>
      <t>t</t>
    </r>
    <r>
      <rPr>
        <sz val="9.5"/>
        <rFont val="Times New Roman"/>
        <family val="1"/>
      </rPr>
      <t>)^3)*F(x)))</t>
    </r>
  </si>
  <si>
    <t>(3) Derived by averaging data from the Las Vegas Airport and Nellis AFB stations.</t>
  </si>
  <si>
    <t>(4) Site area.</t>
  </si>
  <si>
    <t>(7) This value can change based on site specific characteristics</t>
  </si>
  <si>
    <t>(2) Assumed value for the site based upon USEPA (2002b).</t>
  </si>
  <si>
    <r>
      <t>(6) From USEPA 2002b - M</t>
    </r>
    <r>
      <rPr>
        <vertAlign val="subscript"/>
        <sz val="9.5"/>
        <rFont val="Times New Roman"/>
        <family val="1"/>
      </rPr>
      <t>excav</t>
    </r>
    <r>
      <rPr>
        <sz val="9.5"/>
        <rFont val="Times New Roman"/>
        <family val="1"/>
      </rPr>
      <t xml:space="preserve"> = 0.35 </t>
    </r>
    <r>
      <rPr>
        <sz val="9.5"/>
        <rFont val="Symbol"/>
        <family val="1"/>
      </rPr>
      <t>´</t>
    </r>
    <r>
      <rPr>
        <sz val="9.5"/>
        <rFont val="Times New Roman"/>
        <family val="1"/>
      </rPr>
      <t xml:space="preserve"> 0.0016 </t>
    </r>
    <r>
      <rPr>
        <sz val="9.5"/>
        <rFont val="Symbol"/>
        <family val="1"/>
      </rPr>
      <t>´</t>
    </r>
    <r>
      <rPr>
        <sz val="9.5"/>
        <rFont val="Times New Roman"/>
        <family val="1"/>
      </rPr>
      <t xml:space="preserve"> [(U</t>
    </r>
    <r>
      <rPr>
        <vertAlign val="subscript"/>
        <sz val="9.5"/>
        <rFont val="Times New Roman"/>
        <family val="1"/>
      </rPr>
      <t>m</t>
    </r>
    <r>
      <rPr>
        <sz val="9.5"/>
        <rFont val="Times New Roman"/>
        <family val="1"/>
      </rPr>
      <t>/2.2</t>
    </r>
    <r>
      <rPr>
        <vertAlign val="subscript"/>
        <sz val="9.5"/>
        <rFont val="Times New Roman"/>
        <family val="1"/>
      </rPr>
      <t>)</t>
    </r>
    <r>
      <rPr>
        <vertAlign val="superscript"/>
        <sz val="9.5"/>
        <rFont val="Times New Roman"/>
        <family val="1"/>
      </rPr>
      <t>1.3</t>
    </r>
    <r>
      <rPr>
        <sz val="9.5"/>
        <rFont val="Times New Roman"/>
        <family val="1"/>
      </rPr>
      <t>/(M/2)</t>
    </r>
    <r>
      <rPr>
        <vertAlign val="superscript"/>
        <sz val="9.5"/>
        <rFont val="Times New Roman"/>
        <family val="1"/>
      </rPr>
      <t>1.4</t>
    </r>
    <r>
      <rPr>
        <sz val="9.5"/>
        <rFont val="Times New Roman"/>
        <family val="1"/>
      </rPr>
      <t xml:space="preserve">] </t>
    </r>
    <r>
      <rPr>
        <sz val="9.5"/>
        <rFont val="Symbol"/>
        <family val="1"/>
      </rPr>
      <t>´</t>
    </r>
    <r>
      <rPr>
        <sz val="9.5"/>
        <rFont val="Times New Roman"/>
        <family val="1"/>
      </rPr>
      <t xml:space="preserve"> </t>
    </r>
    <r>
      <rPr>
        <sz val="9.5"/>
        <rFont val="Symbol"/>
        <family val="1"/>
      </rPr>
      <t>r</t>
    </r>
    <r>
      <rPr>
        <vertAlign val="subscript"/>
        <sz val="9.5"/>
        <rFont val="Times New Roman"/>
        <family val="1"/>
      </rPr>
      <t>soil</t>
    </r>
    <r>
      <rPr>
        <sz val="9.5"/>
        <rFont val="Times New Roman"/>
        <family val="1"/>
      </rPr>
      <t xml:space="preserve"> </t>
    </r>
    <r>
      <rPr>
        <sz val="9.5"/>
        <rFont val="Symbol"/>
        <family val="1"/>
      </rPr>
      <t>´</t>
    </r>
    <r>
      <rPr>
        <sz val="9.5"/>
        <rFont val="Times New Roman"/>
        <family val="1"/>
      </rPr>
      <t xml:space="preserve"> A</t>
    </r>
    <r>
      <rPr>
        <vertAlign val="subscript"/>
        <sz val="9.5"/>
        <rFont val="Times New Roman"/>
        <family val="1"/>
      </rPr>
      <t>excav</t>
    </r>
    <r>
      <rPr>
        <sz val="9.5"/>
        <rFont val="Times New Roman"/>
        <family val="1"/>
      </rPr>
      <t xml:space="preserve"> </t>
    </r>
    <r>
      <rPr>
        <sz val="9.5"/>
        <rFont val="Symbol"/>
        <family val="1"/>
      </rPr>
      <t>´</t>
    </r>
    <r>
      <rPr>
        <sz val="9.5"/>
        <rFont val="Times New Roman"/>
        <family val="1"/>
      </rPr>
      <t xml:space="preserve"> d</t>
    </r>
    <r>
      <rPr>
        <vertAlign val="subscript"/>
        <sz val="9.5"/>
        <rFont val="Times New Roman"/>
        <family val="1"/>
      </rPr>
      <t>excav</t>
    </r>
    <r>
      <rPr>
        <sz val="9.5"/>
        <rFont val="Times New Roman"/>
        <family val="1"/>
      </rPr>
      <t xml:space="preserve"> </t>
    </r>
    <r>
      <rPr>
        <sz val="9.5"/>
        <rFont val="Symbol"/>
        <family val="1"/>
      </rPr>
      <t>´</t>
    </r>
    <r>
      <rPr>
        <sz val="9.5"/>
        <rFont val="Times New Roman"/>
        <family val="1"/>
      </rPr>
      <t xml:space="preserve"> N</t>
    </r>
    <r>
      <rPr>
        <vertAlign val="subscript"/>
        <sz val="9.5"/>
        <rFont val="Times New Roman"/>
        <family val="1"/>
      </rPr>
      <t>A</t>
    </r>
    <r>
      <rPr>
        <sz val="9.5"/>
        <rFont val="Times New Roman"/>
        <family val="1"/>
      </rPr>
      <t xml:space="preserve"> </t>
    </r>
    <r>
      <rPr>
        <sz val="9.5"/>
        <rFont val="Symbol"/>
        <family val="1"/>
      </rPr>
      <t>´</t>
    </r>
    <r>
      <rPr>
        <sz val="9.5"/>
        <rFont val="Times New Roman"/>
        <family val="1"/>
      </rPr>
      <t xml:space="preserve"> 10</t>
    </r>
    <r>
      <rPr>
        <vertAlign val="superscript"/>
        <sz val="9.5"/>
        <rFont val="Times New Roman"/>
        <family val="1"/>
      </rPr>
      <t>3</t>
    </r>
    <r>
      <rPr>
        <sz val="9.5"/>
        <rFont val="Times New Roman"/>
        <family val="1"/>
      </rPr>
      <t>g/kg.</t>
    </r>
  </si>
  <si>
    <t>(9) Assumed value of one fifth of the site based upon USEPA (2002b).</t>
  </si>
  <si>
    <r>
      <t>(10) From USEPA 2002b - M</t>
    </r>
    <r>
      <rPr>
        <vertAlign val="subscript"/>
        <sz val="9.5"/>
        <rFont val="Times New Roman"/>
        <family val="1"/>
      </rPr>
      <t>doz</t>
    </r>
    <r>
      <rPr>
        <sz val="9.5"/>
        <rFont val="Times New Roman"/>
        <family val="1"/>
      </rPr>
      <t xml:space="preserve"> = 0.75 </t>
    </r>
    <r>
      <rPr>
        <sz val="9.5"/>
        <rFont val="Symbol"/>
        <family val="1"/>
      </rPr>
      <t>´</t>
    </r>
    <r>
      <rPr>
        <sz val="9.5"/>
        <rFont val="Times New Roman"/>
        <family val="1"/>
      </rPr>
      <t xml:space="preserve"> [(0.45 </t>
    </r>
    <r>
      <rPr>
        <sz val="9.5"/>
        <rFont val="Symbol"/>
        <family val="1"/>
      </rPr>
      <t>´</t>
    </r>
    <r>
      <rPr>
        <sz val="9.5"/>
        <rFont val="Times New Roman"/>
        <family val="1"/>
      </rPr>
      <t xml:space="preserve"> s</t>
    </r>
    <r>
      <rPr>
        <vertAlign val="superscript"/>
        <sz val="9.5"/>
        <rFont val="Times New Roman"/>
        <family val="1"/>
      </rPr>
      <t>1.5</t>
    </r>
    <r>
      <rPr>
        <sz val="9.5"/>
        <rFont val="Times New Roman"/>
        <family val="1"/>
      </rPr>
      <t>)/(M)</t>
    </r>
    <r>
      <rPr>
        <vertAlign val="superscript"/>
        <sz val="9.5"/>
        <rFont val="Times New Roman"/>
        <family val="1"/>
      </rPr>
      <t>1.4</t>
    </r>
    <r>
      <rPr>
        <sz val="9.5"/>
        <rFont val="Times New Roman"/>
        <family val="1"/>
      </rPr>
      <t xml:space="preserve">] </t>
    </r>
    <r>
      <rPr>
        <sz val="9.5"/>
        <rFont val="Symbol"/>
        <family val="1"/>
      </rPr>
      <t>´</t>
    </r>
    <r>
      <rPr>
        <sz val="9.5"/>
        <rFont val="Times New Roman"/>
        <family val="1"/>
      </rPr>
      <t xml:space="preserve"> </t>
    </r>
    <r>
      <rPr>
        <sz val="9.5"/>
        <rFont val="Arial"/>
        <family val="2"/>
      </rPr>
      <t>∑</t>
    </r>
    <r>
      <rPr>
        <sz val="9.5"/>
        <rFont val="Times New Roman"/>
        <family val="1"/>
      </rPr>
      <t>VKT</t>
    </r>
    <r>
      <rPr>
        <vertAlign val="subscript"/>
        <sz val="9.5"/>
        <rFont val="Times New Roman"/>
        <family val="1"/>
      </rPr>
      <t>doz</t>
    </r>
    <r>
      <rPr>
        <sz val="9.5"/>
        <rFont val="Times New Roman"/>
        <family val="1"/>
      </rPr>
      <t>/S</t>
    </r>
    <r>
      <rPr>
        <vertAlign val="subscript"/>
        <sz val="9.5"/>
        <rFont val="Times New Roman"/>
        <family val="1"/>
      </rPr>
      <t>doz</t>
    </r>
    <r>
      <rPr>
        <sz val="9.5"/>
        <rFont val="Times New Roman"/>
        <family val="1"/>
      </rPr>
      <t xml:space="preserve"> </t>
    </r>
    <r>
      <rPr>
        <sz val="9.5"/>
        <rFont val="Symbol"/>
        <family val="1"/>
      </rPr>
      <t>´</t>
    </r>
    <r>
      <rPr>
        <sz val="9.5"/>
        <rFont val="Times New Roman"/>
        <family val="1"/>
      </rPr>
      <t xml:space="preserve"> 10</t>
    </r>
    <r>
      <rPr>
        <vertAlign val="superscript"/>
        <sz val="9.5"/>
        <rFont val="Times New Roman"/>
        <family val="1"/>
      </rPr>
      <t>3</t>
    </r>
    <r>
      <rPr>
        <sz val="9.5"/>
        <rFont val="Times New Roman"/>
        <family val="1"/>
      </rPr>
      <t>g/kg.</t>
    </r>
  </si>
  <si>
    <r>
      <t>(11) From USEPA 2002b - VKT</t>
    </r>
    <r>
      <rPr>
        <vertAlign val="subscript"/>
        <sz val="9.5"/>
        <rFont val="Times New Roman"/>
        <family val="1"/>
      </rPr>
      <t>doz</t>
    </r>
    <r>
      <rPr>
        <sz val="9.5"/>
        <rFont val="Times New Roman"/>
        <family val="1"/>
      </rPr>
      <t xml:space="preserve"> = [(A</t>
    </r>
    <r>
      <rPr>
        <vertAlign val="subscript"/>
        <sz val="9.5"/>
        <rFont val="Times New Roman"/>
        <family val="1"/>
      </rPr>
      <t>surf</t>
    </r>
    <r>
      <rPr>
        <vertAlign val="superscript"/>
        <sz val="9.5"/>
        <rFont val="Times New Roman"/>
        <family val="1"/>
      </rPr>
      <t>0.5</t>
    </r>
    <r>
      <rPr>
        <sz val="9.5"/>
        <rFont val="Times New Roman"/>
        <family val="1"/>
      </rPr>
      <t xml:space="preserve">/2.44m) </t>
    </r>
    <r>
      <rPr>
        <sz val="9.5"/>
        <rFont val="Symbol"/>
        <family val="1"/>
      </rPr>
      <t>´</t>
    </r>
    <r>
      <rPr>
        <sz val="9.5"/>
        <rFont val="Times New Roman"/>
        <family val="1"/>
      </rPr>
      <t xml:space="preserve"> A</t>
    </r>
    <r>
      <rPr>
        <vertAlign val="subscript"/>
        <sz val="9.5"/>
        <rFont val="Times New Roman"/>
        <family val="1"/>
      </rPr>
      <t>surf</t>
    </r>
    <r>
      <rPr>
        <vertAlign val="superscript"/>
        <sz val="9.5"/>
        <rFont val="Times New Roman"/>
        <family val="1"/>
      </rPr>
      <t>0.5</t>
    </r>
    <r>
      <rPr>
        <sz val="9.5"/>
        <rFont val="Times New Roman"/>
        <family val="1"/>
      </rPr>
      <t xml:space="preserve"> </t>
    </r>
    <r>
      <rPr>
        <sz val="9.5"/>
        <rFont val="Symbol"/>
        <family val="1"/>
      </rPr>
      <t>´</t>
    </r>
    <r>
      <rPr>
        <sz val="9.5"/>
        <rFont val="Times New Roman"/>
        <family val="1"/>
      </rPr>
      <t xml:space="preserve"> 3]/1,000 m/km.</t>
    </r>
  </si>
  <si>
    <r>
      <t>(12) From USEPA 2002b - M</t>
    </r>
    <r>
      <rPr>
        <vertAlign val="subscript"/>
        <sz val="9.5"/>
        <rFont val="Times New Roman"/>
        <family val="1"/>
      </rPr>
      <t>grade</t>
    </r>
    <r>
      <rPr>
        <sz val="9.5"/>
        <rFont val="Times New Roman"/>
        <family val="1"/>
      </rPr>
      <t xml:space="preserve"> = 0.60 </t>
    </r>
    <r>
      <rPr>
        <sz val="9.5"/>
        <rFont val="Symbol"/>
        <family val="1"/>
      </rPr>
      <t>´</t>
    </r>
    <r>
      <rPr>
        <sz val="9.5"/>
        <rFont val="Times New Roman"/>
        <family val="1"/>
      </rPr>
      <t xml:space="preserve"> (0.0056 </t>
    </r>
    <r>
      <rPr>
        <sz val="9.5"/>
        <rFont val="Symbol"/>
        <family val="1"/>
      </rPr>
      <t>´</t>
    </r>
    <r>
      <rPr>
        <sz val="9.5"/>
        <rFont val="Times New Roman"/>
        <family val="1"/>
      </rPr>
      <t xml:space="preserve"> S</t>
    </r>
    <r>
      <rPr>
        <vertAlign val="superscript"/>
        <sz val="9.5"/>
        <rFont val="Times New Roman"/>
        <family val="1"/>
      </rPr>
      <t>2.0</t>
    </r>
    <r>
      <rPr>
        <sz val="9.5"/>
        <rFont val="Times New Roman"/>
        <family val="1"/>
      </rPr>
      <t xml:space="preserve">) </t>
    </r>
    <r>
      <rPr>
        <sz val="9.5"/>
        <rFont val="Symbol"/>
        <family val="1"/>
      </rPr>
      <t>´</t>
    </r>
    <r>
      <rPr>
        <sz val="9.5"/>
        <rFont val="Times New Roman"/>
        <family val="1"/>
      </rPr>
      <t xml:space="preserve"> </t>
    </r>
    <r>
      <rPr>
        <sz val="9.5"/>
        <rFont val="Arial"/>
        <family val="2"/>
      </rPr>
      <t>∑</t>
    </r>
    <r>
      <rPr>
        <sz val="9.5"/>
        <rFont val="Times New Roman"/>
        <family val="1"/>
      </rPr>
      <t>VKT</t>
    </r>
    <r>
      <rPr>
        <vertAlign val="subscript"/>
        <sz val="9.5"/>
        <rFont val="Times New Roman"/>
        <family val="1"/>
      </rPr>
      <t>grade</t>
    </r>
    <r>
      <rPr>
        <sz val="9.5"/>
        <rFont val="Times New Roman"/>
        <family val="1"/>
      </rPr>
      <t xml:space="preserve"> </t>
    </r>
    <r>
      <rPr>
        <sz val="9.5"/>
        <rFont val="Symbol"/>
        <family val="1"/>
      </rPr>
      <t>´</t>
    </r>
    <r>
      <rPr>
        <sz val="9.5"/>
        <rFont val="Times New Roman"/>
        <family val="1"/>
      </rPr>
      <t xml:space="preserve"> 10</t>
    </r>
    <r>
      <rPr>
        <vertAlign val="superscript"/>
        <sz val="9.5"/>
        <rFont val="Times New Roman"/>
        <family val="1"/>
      </rPr>
      <t>3</t>
    </r>
    <r>
      <rPr>
        <sz val="9.5"/>
        <rFont val="Times New Roman"/>
        <family val="1"/>
      </rPr>
      <t>g/kg.</t>
    </r>
  </si>
  <si>
    <r>
      <t>(13) From USEPA 2002b - M</t>
    </r>
    <r>
      <rPr>
        <vertAlign val="subscript"/>
        <sz val="9.5"/>
        <rFont val="Times New Roman"/>
        <family val="1"/>
      </rPr>
      <t>till</t>
    </r>
    <r>
      <rPr>
        <sz val="9.5"/>
        <rFont val="Times New Roman"/>
        <family val="1"/>
      </rPr>
      <t xml:space="preserve"> = 1.1 </t>
    </r>
    <r>
      <rPr>
        <sz val="9.5"/>
        <rFont val="Symbol"/>
        <family val="1"/>
      </rPr>
      <t>´</t>
    </r>
    <r>
      <rPr>
        <sz val="9.5"/>
        <rFont val="Times New Roman"/>
        <family val="1"/>
      </rPr>
      <t xml:space="preserve"> s</t>
    </r>
    <r>
      <rPr>
        <vertAlign val="superscript"/>
        <sz val="9.5"/>
        <rFont val="Times New Roman"/>
        <family val="1"/>
      </rPr>
      <t>0.6</t>
    </r>
    <r>
      <rPr>
        <sz val="9.5"/>
        <rFont val="Times New Roman"/>
        <family val="1"/>
      </rPr>
      <t xml:space="preserve"> </t>
    </r>
    <r>
      <rPr>
        <sz val="9.5"/>
        <rFont val="Symbol"/>
        <family val="1"/>
      </rPr>
      <t>´</t>
    </r>
    <r>
      <rPr>
        <sz val="9.5"/>
        <rFont val="Times New Roman"/>
        <family val="1"/>
      </rPr>
      <t xml:space="preserve"> A</t>
    </r>
    <r>
      <rPr>
        <vertAlign val="subscript"/>
        <sz val="9.5"/>
        <rFont val="Times New Roman"/>
        <family val="1"/>
      </rPr>
      <t>till</t>
    </r>
    <r>
      <rPr>
        <sz val="9.5"/>
        <rFont val="Times New Roman"/>
        <family val="1"/>
      </rPr>
      <t xml:space="preserve"> </t>
    </r>
    <r>
      <rPr>
        <sz val="9.5"/>
        <rFont val="Symbol"/>
        <family val="1"/>
      </rPr>
      <t>´</t>
    </r>
    <r>
      <rPr>
        <sz val="9.5"/>
        <rFont val="Times New Roman"/>
        <family val="1"/>
      </rPr>
      <t xml:space="preserve"> 4,047m</t>
    </r>
    <r>
      <rPr>
        <vertAlign val="superscript"/>
        <sz val="9.5"/>
        <rFont val="Times New Roman"/>
        <family val="1"/>
      </rPr>
      <t>2</t>
    </r>
    <r>
      <rPr>
        <sz val="9.5"/>
        <rFont val="Times New Roman"/>
        <family val="1"/>
      </rPr>
      <t xml:space="preserve">/acre </t>
    </r>
    <r>
      <rPr>
        <sz val="9.5"/>
        <rFont val="Symbol"/>
        <family val="1"/>
      </rPr>
      <t>´</t>
    </r>
    <r>
      <rPr>
        <sz val="9.5"/>
        <rFont val="Times New Roman"/>
        <family val="1"/>
      </rPr>
      <t xml:space="preserve"> 10</t>
    </r>
    <r>
      <rPr>
        <vertAlign val="superscript"/>
        <sz val="9.5"/>
        <rFont val="Times New Roman"/>
        <family val="1"/>
      </rPr>
      <t>-4</t>
    </r>
    <r>
      <rPr>
        <sz val="9.5"/>
        <rFont val="Times New Roman"/>
        <family val="1"/>
      </rPr>
      <t>ha/m</t>
    </r>
    <r>
      <rPr>
        <vertAlign val="superscript"/>
        <sz val="9.5"/>
        <rFont val="Times New Roman"/>
        <family val="1"/>
      </rPr>
      <t>2</t>
    </r>
    <r>
      <rPr>
        <sz val="9.5"/>
        <rFont val="Times New Roman"/>
        <family val="1"/>
      </rPr>
      <t xml:space="preserve"> </t>
    </r>
    <r>
      <rPr>
        <sz val="9.5"/>
        <rFont val="Symbol"/>
        <family val="1"/>
      </rPr>
      <t>´</t>
    </r>
    <r>
      <rPr>
        <sz val="9.5"/>
        <rFont val="Times New Roman"/>
        <family val="1"/>
      </rPr>
      <t xml:space="preserve"> 10</t>
    </r>
    <r>
      <rPr>
        <vertAlign val="superscript"/>
        <sz val="9.5"/>
        <rFont val="Times New Roman"/>
        <family val="1"/>
      </rPr>
      <t>3</t>
    </r>
    <r>
      <rPr>
        <sz val="9.5"/>
        <rFont val="Times New Roman"/>
        <family val="1"/>
      </rPr>
      <t xml:space="preserve">g/kg </t>
    </r>
    <r>
      <rPr>
        <sz val="9.5"/>
        <rFont val="Symbol"/>
        <family val="1"/>
      </rPr>
      <t>´</t>
    </r>
    <r>
      <rPr>
        <sz val="9.5"/>
        <rFont val="Times New Roman"/>
        <family val="1"/>
      </rPr>
      <t xml:space="preserve"> N</t>
    </r>
    <r>
      <rPr>
        <vertAlign val="subscript"/>
        <sz val="9.5"/>
        <rFont val="Times New Roman"/>
        <family val="1"/>
      </rPr>
      <t>A</t>
    </r>
    <r>
      <rPr>
        <sz val="9.5"/>
        <rFont val="Times New Roman"/>
        <family val="1"/>
      </rPr>
      <t>.</t>
    </r>
  </si>
  <si>
    <r>
      <t>(14) From USEPA 2002b - J'</t>
    </r>
    <r>
      <rPr>
        <vertAlign val="subscript"/>
        <sz val="9.5"/>
        <rFont val="Times New Roman"/>
        <family val="1"/>
      </rPr>
      <t>T</t>
    </r>
    <r>
      <rPr>
        <sz val="9.5"/>
        <rFont val="Times New Roman"/>
        <family val="1"/>
      </rPr>
      <t xml:space="preserve"> = (M</t>
    </r>
    <r>
      <rPr>
        <vertAlign val="subscript"/>
        <sz val="9.5"/>
        <rFont val="Times New Roman"/>
        <family val="1"/>
      </rPr>
      <t>wind</t>
    </r>
    <r>
      <rPr>
        <sz val="9.5"/>
        <rFont val="Times New Roman"/>
        <family val="1"/>
      </rPr>
      <t xml:space="preserve"> </t>
    </r>
    <r>
      <rPr>
        <sz val="9.5"/>
        <rFont val="Symbol"/>
        <family val="1"/>
      </rPr>
      <t>+</t>
    </r>
    <r>
      <rPr>
        <sz val="9.5"/>
        <rFont val="Times New Roman"/>
        <family val="1"/>
      </rPr>
      <t xml:space="preserve"> M</t>
    </r>
    <r>
      <rPr>
        <vertAlign val="subscript"/>
        <sz val="9.5"/>
        <rFont val="Times New Roman"/>
        <family val="1"/>
      </rPr>
      <t>excav</t>
    </r>
    <r>
      <rPr>
        <sz val="9.5"/>
        <rFont val="Times New Roman"/>
        <family val="1"/>
      </rPr>
      <t xml:space="preserve"> </t>
    </r>
    <r>
      <rPr>
        <sz val="9.5"/>
        <rFont val="Symbol"/>
        <family val="1"/>
      </rPr>
      <t>+</t>
    </r>
    <r>
      <rPr>
        <sz val="9.5"/>
        <rFont val="Times New Roman"/>
        <family val="1"/>
      </rPr>
      <t xml:space="preserve"> M</t>
    </r>
    <r>
      <rPr>
        <vertAlign val="subscript"/>
        <sz val="9.5"/>
        <rFont val="Times New Roman"/>
        <family val="1"/>
      </rPr>
      <t>doz</t>
    </r>
    <r>
      <rPr>
        <sz val="9.5"/>
        <rFont val="Times New Roman"/>
        <family val="1"/>
      </rPr>
      <t xml:space="preserve"> </t>
    </r>
    <r>
      <rPr>
        <sz val="9.5"/>
        <rFont val="Symbol"/>
        <family val="1"/>
      </rPr>
      <t>+</t>
    </r>
    <r>
      <rPr>
        <sz val="9.5"/>
        <rFont val="Times New Roman"/>
        <family val="1"/>
      </rPr>
      <t xml:space="preserve"> M</t>
    </r>
    <r>
      <rPr>
        <vertAlign val="subscript"/>
        <sz val="9.5"/>
        <rFont val="Times New Roman"/>
        <family val="1"/>
      </rPr>
      <t>grade</t>
    </r>
    <r>
      <rPr>
        <sz val="9.5"/>
        <rFont val="Times New Roman"/>
        <family val="1"/>
      </rPr>
      <t xml:space="preserve"> </t>
    </r>
    <r>
      <rPr>
        <sz val="9.5"/>
        <rFont val="Symbol"/>
        <family val="1"/>
      </rPr>
      <t>+</t>
    </r>
    <r>
      <rPr>
        <sz val="9.5"/>
        <rFont val="Times New Roman"/>
        <family val="1"/>
      </rPr>
      <t xml:space="preserve"> M</t>
    </r>
    <r>
      <rPr>
        <vertAlign val="subscript"/>
        <sz val="9.5"/>
        <rFont val="Times New Roman"/>
        <family val="1"/>
      </rPr>
      <t>till</t>
    </r>
    <r>
      <rPr>
        <sz val="9.5"/>
        <rFont val="Times New Roman"/>
        <family val="1"/>
      </rPr>
      <t>)/(A</t>
    </r>
    <r>
      <rPr>
        <vertAlign val="subscript"/>
        <sz val="9.5"/>
        <rFont val="Times New Roman"/>
        <family val="1"/>
      </rPr>
      <t>surf</t>
    </r>
    <r>
      <rPr>
        <sz val="9.5"/>
        <rFont val="Times New Roman"/>
        <family val="1"/>
      </rPr>
      <t xml:space="preserve"> </t>
    </r>
    <r>
      <rPr>
        <sz val="9.5"/>
        <rFont val="Symbol"/>
        <family val="1"/>
      </rPr>
      <t>´</t>
    </r>
    <r>
      <rPr>
        <sz val="9.5"/>
        <rFont val="Times New Roman"/>
        <family val="1"/>
      </rPr>
      <t xml:space="preserve"> T).</t>
    </r>
  </si>
  <si>
    <r>
      <t>(15) From USEPA 2002b - Q/C</t>
    </r>
    <r>
      <rPr>
        <vertAlign val="subscript"/>
        <sz val="9.5"/>
        <rFont val="Times New Roman"/>
        <family val="1"/>
      </rPr>
      <t>sa</t>
    </r>
    <r>
      <rPr>
        <sz val="9.5"/>
        <rFont val="Times New Roman"/>
        <family val="1"/>
      </rPr>
      <t xml:space="preserve"> = A </t>
    </r>
    <r>
      <rPr>
        <sz val="9.5"/>
        <rFont val="Symbol"/>
        <family val="1"/>
      </rPr>
      <t>´</t>
    </r>
    <r>
      <rPr>
        <sz val="9.5"/>
        <rFont val="Times New Roman"/>
        <family val="1"/>
      </rPr>
      <t xml:space="preserve"> exp[(ln(A</t>
    </r>
    <r>
      <rPr>
        <vertAlign val="subscript"/>
        <sz val="9.5"/>
        <rFont val="Times New Roman"/>
        <family val="1"/>
      </rPr>
      <t>surf</t>
    </r>
    <r>
      <rPr>
        <sz val="9.5"/>
        <rFont val="Times New Roman"/>
        <family val="1"/>
      </rPr>
      <t xml:space="preserve">) </t>
    </r>
    <r>
      <rPr>
        <sz val="9.5"/>
        <rFont val="Symbol"/>
        <family val="1"/>
      </rPr>
      <t>-</t>
    </r>
    <r>
      <rPr>
        <sz val="9.5"/>
        <rFont val="Times New Roman"/>
        <family val="1"/>
      </rPr>
      <t xml:space="preserve"> B)</t>
    </r>
    <r>
      <rPr>
        <vertAlign val="superscript"/>
        <sz val="9.5"/>
        <rFont val="Times New Roman"/>
        <family val="1"/>
      </rPr>
      <t>2</t>
    </r>
    <r>
      <rPr>
        <sz val="9.5"/>
        <rFont val="Times New Roman"/>
        <family val="1"/>
      </rPr>
      <t>/C].</t>
    </r>
  </si>
  <si>
    <r>
      <t>(16) From USEPA 2002b - F</t>
    </r>
    <r>
      <rPr>
        <vertAlign val="subscript"/>
        <sz val="9.5"/>
        <rFont val="Times New Roman"/>
        <family val="1"/>
      </rPr>
      <t>D</t>
    </r>
    <r>
      <rPr>
        <sz val="9.5"/>
        <rFont val="Times New Roman"/>
        <family val="1"/>
      </rPr>
      <t xml:space="preserve"> = 0.1852 + (5.3537/t</t>
    </r>
    <r>
      <rPr>
        <vertAlign val="subscript"/>
        <sz val="9.5"/>
        <rFont val="Times New Roman"/>
        <family val="1"/>
      </rPr>
      <t>c</t>
    </r>
    <r>
      <rPr>
        <sz val="9.5"/>
        <rFont val="Times New Roman"/>
        <family val="1"/>
      </rPr>
      <t>)+(-9.6318/t</t>
    </r>
    <r>
      <rPr>
        <vertAlign val="subscript"/>
        <sz val="9.5"/>
        <rFont val="Times New Roman"/>
        <family val="1"/>
      </rPr>
      <t>c</t>
    </r>
    <r>
      <rPr>
        <vertAlign val="superscript"/>
        <sz val="9.5"/>
        <rFont val="Times New Roman"/>
        <family val="1"/>
      </rPr>
      <t>2</t>
    </r>
    <r>
      <rPr>
        <sz val="9.5"/>
        <rFont val="Times New Roman"/>
        <family val="1"/>
      </rPr>
      <t>), t</t>
    </r>
    <r>
      <rPr>
        <vertAlign val="subscript"/>
        <sz val="9.5"/>
        <rFont val="Times New Roman"/>
        <family val="1"/>
      </rPr>
      <t>c</t>
    </r>
    <r>
      <rPr>
        <sz val="9.5"/>
        <rFont val="Times New Roman"/>
        <family val="1"/>
      </rPr>
      <t xml:space="preserve"> = T/(3,600sec/hour).</t>
    </r>
  </si>
  <si>
    <r>
      <t>(17) From USEPA 2002b - PEF</t>
    </r>
    <r>
      <rPr>
        <vertAlign val="subscript"/>
        <sz val="9.5"/>
        <rFont val="Times New Roman"/>
        <family val="1"/>
      </rPr>
      <t>sc</t>
    </r>
    <r>
      <rPr>
        <sz val="9.5"/>
        <rFont val="Times New Roman"/>
        <family val="1"/>
      </rPr>
      <t xml:space="preserve"> = Q/C</t>
    </r>
    <r>
      <rPr>
        <vertAlign val="subscript"/>
        <sz val="9.5"/>
        <rFont val="Times New Roman"/>
        <family val="1"/>
      </rPr>
      <t>sa</t>
    </r>
    <r>
      <rPr>
        <sz val="9.5"/>
        <rFont val="Times New Roman"/>
        <family val="1"/>
      </rPr>
      <t xml:space="preserve"> </t>
    </r>
    <r>
      <rPr>
        <sz val="9.5"/>
        <rFont val="Symbol"/>
        <family val="1"/>
      </rPr>
      <t>´</t>
    </r>
    <r>
      <rPr>
        <sz val="9.5"/>
        <rFont val="Times New Roman"/>
        <family val="1"/>
      </rPr>
      <t xml:space="preserve"> (1/F</t>
    </r>
    <r>
      <rPr>
        <vertAlign val="subscript"/>
        <sz val="9.5"/>
        <rFont val="Times New Roman"/>
        <family val="1"/>
      </rPr>
      <t>D</t>
    </r>
    <r>
      <rPr>
        <sz val="9.5"/>
        <rFont val="Times New Roman"/>
        <family val="1"/>
      </rPr>
      <t xml:space="preserve">) </t>
    </r>
    <r>
      <rPr>
        <sz val="9.5"/>
        <rFont val="Symbol"/>
        <family val="1"/>
      </rPr>
      <t>´</t>
    </r>
    <r>
      <rPr>
        <sz val="9.5"/>
        <rFont val="Times New Roman"/>
        <family val="1"/>
      </rPr>
      <t xml:space="preserve"> (1/J'</t>
    </r>
    <r>
      <rPr>
        <vertAlign val="subscript"/>
        <sz val="9.5"/>
        <rFont val="Times New Roman"/>
        <family val="1"/>
      </rPr>
      <t>T</t>
    </r>
    <r>
      <rPr>
        <sz val="9.5"/>
        <rFont val="Times New Roman"/>
        <family val="1"/>
      </rPr>
      <t>).</t>
    </r>
  </si>
  <si>
    <t>(18) Assumed value of the square root of the site area, based upon USEPA (2002b).</t>
  </si>
  <si>
    <r>
      <t>(19) From USEPA 2002b - A</t>
    </r>
    <r>
      <rPr>
        <vertAlign val="subscript"/>
        <sz val="9.5"/>
        <rFont val="Times New Roman"/>
        <family val="1"/>
      </rPr>
      <t>R</t>
    </r>
    <r>
      <rPr>
        <sz val="9.5"/>
        <rFont val="Times New Roman"/>
        <family val="1"/>
      </rPr>
      <t xml:space="preserve"> = L</t>
    </r>
    <r>
      <rPr>
        <vertAlign val="subscript"/>
        <sz val="9.5"/>
        <rFont val="Times New Roman"/>
        <family val="1"/>
      </rPr>
      <t>R</t>
    </r>
    <r>
      <rPr>
        <sz val="9.5"/>
        <rFont val="Times New Roman"/>
        <family val="1"/>
      </rPr>
      <t xml:space="preserve"> </t>
    </r>
    <r>
      <rPr>
        <sz val="9.5"/>
        <rFont val="Symbol"/>
        <family val="1"/>
      </rPr>
      <t>´</t>
    </r>
    <r>
      <rPr>
        <sz val="9.5"/>
        <rFont val="Times New Roman"/>
        <family val="1"/>
      </rPr>
      <t xml:space="preserve"> W</t>
    </r>
    <r>
      <rPr>
        <vertAlign val="subscript"/>
        <sz val="9.5"/>
        <rFont val="Times New Roman"/>
        <family val="1"/>
      </rPr>
      <t xml:space="preserve">R </t>
    </r>
    <r>
      <rPr>
        <sz val="9.5"/>
        <rFont val="Times New Roman"/>
        <family val="1"/>
      </rPr>
      <t>* 0.092903 m2/ft2</t>
    </r>
  </si>
  <si>
    <r>
      <t>(21) From USEPA 2002b - VKT</t>
    </r>
    <r>
      <rPr>
        <vertAlign val="subscript"/>
        <sz val="9.5"/>
        <rFont val="Times New Roman"/>
        <family val="1"/>
      </rPr>
      <t>road</t>
    </r>
    <r>
      <rPr>
        <sz val="9.5"/>
        <rFont val="Times New Roman"/>
        <family val="1"/>
      </rPr>
      <t xml:space="preserve"> = 30 vehicles </t>
    </r>
    <r>
      <rPr>
        <sz val="9.5"/>
        <rFont val="Symbol"/>
        <family val="1"/>
      </rPr>
      <t>´</t>
    </r>
    <r>
      <rPr>
        <sz val="9.5"/>
        <rFont val="Times New Roman"/>
        <family val="1"/>
      </rPr>
      <t xml:space="preserve"> L</t>
    </r>
    <r>
      <rPr>
        <vertAlign val="subscript"/>
        <sz val="9.5"/>
        <rFont val="Times New Roman"/>
        <family val="1"/>
      </rPr>
      <t>R</t>
    </r>
    <r>
      <rPr>
        <sz val="9.5"/>
        <rFont val="Times New Roman"/>
        <family val="1"/>
      </rPr>
      <t xml:space="preserve"> </t>
    </r>
    <r>
      <rPr>
        <sz val="9.5"/>
        <rFont val="Symbol"/>
        <family val="1"/>
      </rPr>
      <t>´</t>
    </r>
    <r>
      <rPr>
        <sz val="9.5"/>
        <rFont val="Times New Roman"/>
        <family val="1"/>
      </rPr>
      <t xml:space="preserve"> [(52 wks/yr)/2] </t>
    </r>
    <r>
      <rPr>
        <sz val="9.5"/>
        <rFont val="Symbol"/>
        <family val="1"/>
      </rPr>
      <t>´</t>
    </r>
    <r>
      <rPr>
        <sz val="9.5"/>
        <rFont val="Times New Roman"/>
        <family val="1"/>
      </rPr>
      <t xml:space="preserve"> (5 days/week) / (1000 m/km).</t>
    </r>
  </si>
  <si>
    <r>
      <t>(22) From USEPA 2002b - Q/C</t>
    </r>
    <r>
      <rPr>
        <vertAlign val="subscript"/>
        <sz val="9.5"/>
        <rFont val="Times New Roman"/>
        <family val="1"/>
      </rPr>
      <t>sr</t>
    </r>
    <r>
      <rPr>
        <sz val="9.5"/>
        <rFont val="Times New Roman"/>
        <family val="1"/>
      </rPr>
      <t xml:space="preserve"> = A </t>
    </r>
    <r>
      <rPr>
        <sz val="9.5"/>
        <rFont val="Symbol"/>
        <family val="1"/>
      </rPr>
      <t>´</t>
    </r>
    <r>
      <rPr>
        <sz val="9.5"/>
        <rFont val="Times New Roman"/>
        <family val="1"/>
      </rPr>
      <t xml:space="preserve"> exp[(ln(A</t>
    </r>
    <r>
      <rPr>
        <vertAlign val="subscript"/>
        <sz val="9.5"/>
        <rFont val="Times New Roman"/>
        <family val="1"/>
      </rPr>
      <t>surf</t>
    </r>
    <r>
      <rPr>
        <sz val="9.5"/>
        <rFont val="Times New Roman"/>
        <family val="1"/>
      </rPr>
      <t xml:space="preserve">) </t>
    </r>
    <r>
      <rPr>
        <sz val="9.5"/>
        <rFont val="Symbol"/>
        <family val="1"/>
      </rPr>
      <t>-</t>
    </r>
    <r>
      <rPr>
        <sz val="9.5"/>
        <rFont val="Times New Roman"/>
        <family val="1"/>
      </rPr>
      <t xml:space="preserve"> B)</t>
    </r>
    <r>
      <rPr>
        <vertAlign val="superscript"/>
        <sz val="9.5"/>
        <rFont val="Times New Roman"/>
        <family val="1"/>
      </rPr>
      <t>2</t>
    </r>
    <r>
      <rPr>
        <sz val="9.5"/>
        <rFont val="Times New Roman"/>
        <family val="1"/>
      </rPr>
      <t>/C].</t>
    </r>
  </si>
  <si>
    <t xml:space="preserve">(1) From USEPA. (2002b). Supplemental Guidance for Developing Soil Screening Levels for Superfund Sites. Office of Solid Waste and Emergency Response, </t>
  </si>
  <si>
    <r>
      <t>(23) From USEPA 2002b - PEF</t>
    </r>
    <r>
      <rPr>
        <vertAlign val="subscript"/>
        <sz val="9.5"/>
        <rFont val="Times New Roman"/>
        <family val="1"/>
      </rPr>
      <t>sc_road</t>
    </r>
    <r>
      <rPr>
        <sz val="9.5"/>
        <rFont val="Times New Roman"/>
        <family val="1"/>
      </rPr>
      <t xml:space="preserve"> = Q/C</t>
    </r>
    <r>
      <rPr>
        <vertAlign val="subscript"/>
        <sz val="9.5"/>
        <rFont val="Times New Roman"/>
        <family val="1"/>
      </rPr>
      <t>sr</t>
    </r>
    <r>
      <rPr>
        <sz val="9.5"/>
        <rFont val="Times New Roman"/>
        <family val="1"/>
      </rPr>
      <t xml:space="preserve"> </t>
    </r>
    <r>
      <rPr>
        <sz val="9.5"/>
        <rFont val="Symbol"/>
        <family val="1"/>
      </rPr>
      <t>´</t>
    </r>
    <r>
      <rPr>
        <sz val="9.5"/>
        <rFont val="Times New Roman"/>
        <family val="1"/>
      </rPr>
      <t xml:space="preserve"> (1/F</t>
    </r>
    <r>
      <rPr>
        <vertAlign val="subscript"/>
        <sz val="9.5"/>
        <rFont val="Times New Roman"/>
        <family val="1"/>
      </rPr>
      <t>D</t>
    </r>
    <r>
      <rPr>
        <sz val="9.5"/>
        <rFont val="Times New Roman"/>
        <family val="1"/>
      </rPr>
      <t xml:space="preserve">) </t>
    </r>
    <r>
      <rPr>
        <sz val="9.5"/>
        <rFont val="Symbol"/>
        <family val="1"/>
      </rPr>
      <t>´</t>
    </r>
    <r>
      <rPr>
        <sz val="9.5"/>
        <rFont val="Times New Roman"/>
        <family val="1"/>
      </rPr>
      <t xml:space="preserve"> T </t>
    </r>
    <r>
      <rPr>
        <sz val="9.5"/>
        <rFont val="Symbol"/>
        <family val="1"/>
      </rPr>
      <t>´</t>
    </r>
    <r>
      <rPr>
        <sz val="9.5"/>
        <rFont val="Times New Roman"/>
        <family val="1"/>
      </rPr>
      <t xml:space="preserve"> A</t>
    </r>
    <r>
      <rPr>
        <vertAlign val="subscript"/>
        <sz val="9.5"/>
        <rFont val="Times New Roman"/>
        <family val="1"/>
      </rPr>
      <t>R</t>
    </r>
    <r>
      <rPr>
        <sz val="9.5"/>
        <rFont val="Times New Roman"/>
        <family val="1"/>
      </rPr>
      <t xml:space="preserve"> / {[2.6 × (s/12)</t>
    </r>
    <r>
      <rPr>
        <vertAlign val="superscript"/>
        <sz val="9.5"/>
        <rFont val="Times New Roman"/>
        <family val="1"/>
      </rPr>
      <t>0.8</t>
    </r>
    <r>
      <rPr>
        <sz val="9.5"/>
        <rFont val="Times New Roman"/>
        <family val="1"/>
      </rPr>
      <t xml:space="preserve"> × (W/3)</t>
    </r>
    <r>
      <rPr>
        <vertAlign val="superscript"/>
        <sz val="9.5"/>
        <rFont val="Times New Roman"/>
        <family val="1"/>
      </rPr>
      <t>0.4</t>
    </r>
    <r>
      <rPr>
        <sz val="9.5"/>
        <rFont val="Times New Roman"/>
        <family val="1"/>
      </rPr>
      <t>/(M/0.2)</t>
    </r>
    <r>
      <rPr>
        <vertAlign val="superscript"/>
        <sz val="9.5"/>
        <rFont val="Times New Roman"/>
        <family val="1"/>
      </rPr>
      <t>0.3</t>
    </r>
    <r>
      <rPr>
        <sz val="9.5"/>
        <rFont val="Times New Roman"/>
        <family val="1"/>
      </rPr>
      <t>] × [(365-p)/365] × 281.9 × ∑VKTroad}.</t>
    </r>
  </si>
  <si>
    <r>
      <t>Washington, DC. OSWER 9355.4-24. December. - Mwind = 0.036 × (1-V) × (Um/Ut)</t>
    </r>
    <r>
      <rPr>
        <vertAlign val="superscript"/>
        <sz val="9.5"/>
        <rFont val="Times New Roman"/>
        <family val="1"/>
      </rPr>
      <t>3</t>
    </r>
    <r>
      <rPr>
        <sz val="9.5"/>
        <rFont val="Times New Roman"/>
        <family val="1"/>
      </rPr>
      <t xml:space="preserve"> × F(x) × Asurf × ED × 8760hr/yr.</t>
    </r>
  </si>
  <si>
    <r>
      <t xml:space="preserve"> Risk = (C</t>
    </r>
    <r>
      <rPr>
        <b/>
        <i/>
        <vertAlign val="subscript"/>
        <sz val="10"/>
        <color indexed="8"/>
        <rFont val="Times New Roman"/>
        <family val="1"/>
      </rPr>
      <t>soil</t>
    </r>
    <r>
      <rPr>
        <b/>
        <i/>
        <sz val="10"/>
        <color indexed="8"/>
        <rFont val="Times New Roman"/>
        <family val="1"/>
      </rPr>
      <t>*URF*(ET</t>
    </r>
    <r>
      <rPr>
        <b/>
        <i/>
        <vertAlign val="subscript"/>
        <sz val="10"/>
        <color indexed="8"/>
        <rFont val="Times New Roman"/>
        <family val="1"/>
      </rPr>
      <t>out</t>
    </r>
    <r>
      <rPr>
        <b/>
        <i/>
        <sz val="10"/>
        <color indexed="8"/>
        <rFont val="Times New Roman"/>
        <family val="1"/>
      </rPr>
      <t>+(ET</t>
    </r>
    <r>
      <rPr>
        <b/>
        <i/>
        <vertAlign val="subscript"/>
        <sz val="10"/>
        <color indexed="8"/>
        <rFont val="Times New Roman"/>
        <family val="1"/>
      </rPr>
      <t>in</t>
    </r>
    <r>
      <rPr>
        <b/>
        <i/>
        <sz val="10"/>
        <color indexed="8"/>
        <rFont val="Times New Roman"/>
        <family val="1"/>
      </rPr>
      <t>*ATT</t>
    </r>
    <r>
      <rPr>
        <b/>
        <i/>
        <vertAlign val="subscript"/>
        <sz val="10"/>
        <color indexed="8"/>
        <rFont val="Times New Roman"/>
        <family val="1"/>
      </rPr>
      <t>in</t>
    </r>
    <r>
      <rPr>
        <b/>
        <i/>
        <sz val="10"/>
        <color indexed="8"/>
        <rFont val="Times New Roman"/>
        <family val="1"/>
      </rPr>
      <t>))*EF*ED) / (PEF*AT)</t>
    </r>
  </si>
  <si>
    <r>
      <t>Estimated Airborne Concentration, C</t>
    </r>
    <r>
      <rPr>
        <vertAlign val="subscript"/>
        <sz val="10"/>
        <color indexed="8"/>
        <rFont val="Times New Roman"/>
        <family val="1"/>
      </rPr>
      <t>air</t>
    </r>
    <r>
      <rPr>
        <sz val="10"/>
        <color indexed="8"/>
        <rFont val="Times New Roman"/>
        <family val="1"/>
      </rPr>
      <t xml:space="preserve"> (best estimate)</t>
    </r>
    <r>
      <rPr>
        <vertAlign val="superscript"/>
        <sz val="10"/>
        <color indexed="8"/>
        <rFont val="Times New Roman"/>
        <family val="1"/>
      </rPr>
      <t>A</t>
    </r>
  </si>
  <si>
    <r>
      <t>f/m</t>
    </r>
    <r>
      <rPr>
        <vertAlign val="superscript"/>
        <sz val="10"/>
        <color indexed="8"/>
        <rFont val="Times New Roman"/>
        <family val="1"/>
      </rPr>
      <t>3</t>
    </r>
  </si>
  <si>
    <r>
      <t>Estimated Airborne Concentration (upper bound)</t>
    </r>
    <r>
      <rPr>
        <vertAlign val="superscript"/>
        <sz val="10"/>
        <color indexed="8"/>
        <rFont val="Times New Roman"/>
        <family val="1"/>
      </rPr>
      <t>B</t>
    </r>
  </si>
  <si>
    <r>
      <t>A</t>
    </r>
    <r>
      <rPr>
        <i/>
        <sz val="10"/>
        <color indexed="8"/>
        <rFont val="Times New Roman"/>
        <family val="1"/>
      </rPr>
      <t xml:space="preserve"> Estimated Airborne Concentration = Estimated C</t>
    </r>
    <r>
      <rPr>
        <i/>
        <vertAlign val="subscript"/>
        <sz val="10"/>
        <color indexed="8"/>
        <rFont val="Times New Roman"/>
        <family val="1"/>
      </rPr>
      <t>soil</t>
    </r>
    <r>
      <rPr>
        <i/>
        <sz val="10"/>
        <color indexed="8"/>
        <rFont val="Times New Roman"/>
        <family val="1"/>
      </rPr>
      <t xml:space="preserve"> * 1/PEF</t>
    </r>
  </si>
  <si>
    <r>
      <t>B</t>
    </r>
    <r>
      <rPr>
        <i/>
        <sz val="10"/>
        <color indexed="8"/>
        <rFont val="Times New Roman"/>
        <family val="1"/>
      </rPr>
      <t xml:space="preserve"> Estimated Airborne Concentration = 95% UCL (upper bound) * 1/PEF</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</si>
</sst>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E+0"/>
    <numFmt numFmtId="165" formatCode="0.0000"/>
    <numFmt numFmtId="166" formatCode="General_)"/>
    <numFmt numFmtId="167" formatCode="0.000"/>
    <numFmt numFmtId="168" formatCode="0.0E+00"/>
    <numFmt numFmtId="169" formatCode="0.0"/>
    <numFmt numFmtId="170" formatCode="0E+00"/>
    <numFmt numFmtId="171" formatCode="0.0000000"/>
    <numFmt numFmtId="172" formatCode="0.000000"/>
    <numFmt numFmtId="173" formatCode="0.00000"/>
    <numFmt numFmtId="174" formatCode="0\ E+0"/>
  </numFmts>
  <fonts count="82">
    <font>
      <sz val="11"/>
      <color indexed="8"/>
      <name val="Calibri"/>
      <family val="2"/>
    </font>
    <font>
      <b/>
      <sz val="11"/>
      <color indexed="8"/>
      <name val="Calibri"/>
      <family val="2"/>
    </font>
    <font>
      <vertAlign val="superscript"/>
      <sz val="11"/>
      <color indexed="8"/>
      <name val="Calibri"/>
      <family val="2"/>
    </font>
    <font>
      <vertAlign val="subscript"/>
      <sz val="11"/>
      <color indexed="8"/>
      <name val="Calibri"/>
      <family val="2"/>
    </font>
    <font>
      <i/>
      <sz val="11"/>
      <color indexed="8"/>
      <name val="Calibri"/>
      <family val="2"/>
    </font>
    <font>
      <sz val="10"/>
      <name val="MS Sans Serif"/>
      <family val="2"/>
    </font>
    <font>
      <b/>
      <sz val="10"/>
      <name val="Times New Roman"/>
      <family val="1"/>
    </font>
    <font>
      <sz val="10"/>
      <name val="Arial"/>
      <family val="2"/>
    </font>
    <font>
      <b/>
      <vertAlign val="superscript"/>
      <sz val="10"/>
      <name val="Times New Roman"/>
      <family val="1"/>
    </font>
    <font>
      <sz val="10"/>
      <name val="Times New Roman"/>
      <family val="1"/>
    </font>
    <font>
      <vertAlign val="subscript"/>
      <sz val="10"/>
      <name val="Times New Roman"/>
      <family val="1"/>
    </font>
    <font>
      <vertAlign val="superscript"/>
      <sz val="10"/>
      <name val="Times New Roman"/>
      <family val="1"/>
    </font>
    <font>
      <sz val="10"/>
      <name val="Symbol"/>
      <family val="1"/>
    </font>
    <font>
      <vertAlign val="superscript"/>
      <sz val="11.5"/>
      <name val="Times New Roman"/>
      <family val="1"/>
    </font>
    <font>
      <sz val="10"/>
      <color indexed="8"/>
      <name val="Times New Roman"/>
      <family val="1"/>
    </font>
    <font>
      <b/>
      <vertAlign val="subscript"/>
      <sz val="10"/>
      <name val="Times New Roman"/>
      <family val="1"/>
    </font>
    <font>
      <sz val="9.5"/>
      <name val="Times New Roman"/>
      <family val="1"/>
    </font>
    <font>
      <vertAlign val="subscript"/>
      <sz val="9.5"/>
      <name val="Times New Roman"/>
      <family val="1"/>
    </font>
    <font>
      <sz val="9.5"/>
      <name val="Symbol"/>
      <family val="1"/>
    </font>
    <font>
      <vertAlign val="superscript"/>
      <sz val="9.5"/>
      <name val="Times New Roman"/>
      <family val="1"/>
    </font>
    <font>
      <sz val="9"/>
      <name val="Times New Roman"/>
      <family val="1"/>
    </font>
    <font>
      <vertAlign val="superscript"/>
      <sz val="9"/>
      <name val="Times New Roman"/>
      <family val="1"/>
    </font>
    <font>
      <sz val="12"/>
      <name val="Courier"/>
      <family val="3"/>
    </font>
    <font>
      <sz val="9.5"/>
      <name val="Arial"/>
      <family val="2"/>
    </font>
    <font>
      <b/>
      <i/>
      <sz val="11"/>
      <color indexed="8"/>
      <name val="Calibri"/>
      <family val="2"/>
    </font>
    <font>
      <sz val="11"/>
      <name val="Calibri"/>
      <family val="2"/>
    </font>
    <font>
      <vertAlign val="superscript"/>
      <sz val="11"/>
      <name val="Calibri"/>
      <family val="2"/>
    </font>
    <font>
      <b/>
      <vertAlign val="subscript"/>
      <sz val="11"/>
      <color indexed="8"/>
      <name val="Calibri"/>
      <family val="2"/>
    </font>
    <font>
      <vertAlign val="superscript"/>
      <sz val="8"/>
      <color indexed="8"/>
      <name val="Calibri"/>
      <family val="2"/>
    </font>
    <font>
      <i/>
      <vertAlign val="subscript"/>
      <sz val="11"/>
      <color indexed="8"/>
      <name val="Calibri"/>
      <family val="2"/>
    </font>
    <font>
      <sz val="12"/>
      <name val="Times New Roman"/>
      <family val="1"/>
    </font>
    <font>
      <b/>
      <sz val="12"/>
      <name val="Times New Roman"/>
      <family val="1"/>
    </font>
    <font>
      <b/>
      <vertAlign val="superscript"/>
      <sz val="12"/>
      <name val="Times New Roman"/>
      <family val="1"/>
    </font>
    <font>
      <b/>
      <vertAlign val="subscript"/>
      <sz val="12"/>
      <name val="Times New Roman"/>
      <family val="1"/>
    </font>
    <font>
      <vertAlign val="superscript"/>
      <sz val="12"/>
      <name val="Times New Roman"/>
      <family val="1"/>
    </font>
    <font>
      <i/>
      <vertAlign val="superscript"/>
      <sz val="11"/>
      <color indexed="8"/>
      <name val="Calibri"/>
      <family val="2"/>
    </font>
    <font>
      <b/>
      <vertAlign val="superscript"/>
      <sz val="11"/>
      <color indexed="8"/>
      <name val="Calibri"/>
      <family val="2"/>
    </font>
    <font>
      <i/>
      <sz val="11"/>
      <name val="Calibri"/>
      <family val="2"/>
    </font>
    <font>
      <b/>
      <i/>
      <sz val="10"/>
      <name val="Times New Roman"/>
      <family val="1"/>
    </font>
    <font>
      <sz val="12"/>
      <color indexed="8"/>
      <name val="Calibri"/>
      <family val="2"/>
    </font>
    <font>
      <b/>
      <i/>
      <sz val="11"/>
      <color indexed="10"/>
      <name val="Calibri"/>
      <family val="2"/>
    </font>
    <font>
      <vertAlign val="subscript"/>
      <sz val="12"/>
      <color indexed="8"/>
      <name val="Calibri"/>
      <family val="2"/>
    </font>
    <font>
      <b/>
      <i/>
      <vertAlign val="subscript"/>
      <sz val="11"/>
      <color indexed="8"/>
      <name val="Calibri"/>
      <family val="2"/>
    </font>
    <font>
      <sz val="8"/>
      <name val="Tahoma"/>
      <family val="2"/>
    </font>
    <font>
      <b/>
      <sz val="8"/>
      <name val="Tahoma"/>
      <family val="2"/>
    </font>
    <font>
      <sz val="10"/>
      <color indexed="63"/>
      <name val="Cambria"/>
      <family val="1"/>
    </font>
    <font>
      <b/>
      <i/>
      <sz val="14"/>
      <color indexed="8"/>
      <name val="Calibri"/>
      <family val="2"/>
    </font>
    <font>
      <b/>
      <sz val="12"/>
      <color indexed="8"/>
      <name val="Calibri"/>
      <family val="2"/>
    </font>
    <font>
      <b/>
      <i/>
      <sz val="16"/>
      <color indexed="8"/>
      <name val="Calibri"/>
      <family val="2"/>
    </font>
    <font>
      <sz val="11"/>
      <color indexed="10"/>
      <name val="Calibri"/>
      <family val="2"/>
    </font>
    <font>
      <b/>
      <i/>
      <sz val="11"/>
      <name val="Calibri"/>
      <family val="2"/>
    </font>
    <font>
      <b/>
      <sz val="14"/>
      <color indexed="8"/>
      <name val="Calibri"/>
      <family val="2"/>
    </font>
    <font>
      <sz val="8"/>
      <name val="Verdana"/>
      <family val="2"/>
    </font>
    <font>
      <vertAlign val="superscript"/>
      <sz val="9"/>
      <color indexed="8"/>
      <name val="Calibri"/>
      <family val="2"/>
    </font>
    <font>
      <sz val="9"/>
      <color indexed="8"/>
      <name val="Calibri"/>
      <family val="2"/>
    </font>
    <font>
      <sz val="16"/>
      <color indexed="8"/>
      <name val="Calibri"/>
      <family val="2"/>
    </font>
    <font>
      <vertAlign val="subscript"/>
      <sz val="11"/>
      <name val="Calibri"/>
      <family val="2"/>
    </font>
    <font>
      <i/>
      <sz val="10"/>
      <name val="Times New Roman"/>
      <family val="1"/>
    </font>
    <font>
      <b/>
      <i/>
      <vertAlign val="superscript"/>
      <sz val="11"/>
      <color indexed="8"/>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color indexed="8"/>
      <name val="Times New Roman"/>
      <family val="1"/>
    </font>
    <font>
      <b/>
      <i/>
      <sz val="10"/>
      <color indexed="8"/>
      <name val="Times New Roman"/>
      <family val="1"/>
    </font>
    <font>
      <b/>
      <i/>
      <vertAlign val="subscript"/>
      <sz val="10"/>
      <color indexed="8"/>
      <name val="Times New Roman"/>
      <family val="1"/>
    </font>
    <font>
      <vertAlign val="subscript"/>
      <sz val="10"/>
      <color indexed="8"/>
      <name val="Times New Roman"/>
      <family val="1"/>
    </font>
    <font>
      <vertAlign val="superscript"/>
      <sz val="10"/>
      <color indexed="8"/>
      <name val="Times New Roman"/>
      <family val="1"/>
    </font>
    <font>
      <i/>
      <vertAlign val="superscript"/>
      <sz val="10"/>
      <color indexed="8"/>
      <name val="Times New Roman"/>
      <family val="1"/>
    </font>
    <font>
      <i/>
      <sz val="10"/>
      <color indexed="8"/>
      <name val="Times New Roman"/>
      <family val="1"/>
    </font>
    <font>
      <i/>
      <vertAlign val="subscript"/>
      <sz val="10"/>
      <color indexed="8"/>
      <name val="Times New Roman"/>
      <family val="1"/>
    </font>
    <font>
      <b/>
      <sz val="8"/>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top/>
      <bottom style="double"/>
    </border>
    <border>
      <left style="medium"/>
      <right/>
      <top style="medium"/>
      <bottom/>
    </border>
    <border>
      <left/>
      <right style="thin"/>
      <top/>
      <bottom/>
    </border>
    <border>
      <left style="medium"/>
      <right/>
      <top/>
      <bottom/>
    </border>
    <border>
      <left/>
      <right/>
      <top style="medium"/>
      <bottom/>
    </border>
    <border>
      <left style="thin"/>
      <right style="medium"/>
      <top/>
      <bottom/>
    </border>
    <border>
      <left style="medium"/>
      <right/>
      <top/>
      <bottom style="double"/>
    </border>
    <border>
      <left style="thin"/>
      <right style="medium"/>
      <top/>
      <bottom style="double"/>
    </border>
    <border>
      <left/>
      <right/>
      <top style="thin"/>
      <bottom style="double"/>
    </border>
    <border>
      <left style="thick"/>
      <right/>
      <top style="thick"/>
      <bottom/>
    </border>
    <border>
      <left/>
      <right/>
      <top style="thick"/>
      <bottom/>
    </border>
    <border>
      <left style="thick"/>
      <right/>
      <top/>
      <bottom/>
    </border>
    <border>
      <left/>
      <right style="thick"/>
      <top/>
      <bottom/>
    </border>
    <border>
      <left style="thick"/>
      <right/>
      <top/>
      <bottom style="thick"/>
    </border>
    <border>
      <left/>
      <right/>
      <top/>
      <bottom style="thick"/>
    </border>
    <border>
      <left style="thin"/>
      <right/>
      <top/>
      <bottom style="thick"/>
    </border>
    <border>
      <left/>
      <right style="thin"/>
      <top/>
      <bottom style="thick"/>
    </border>
    <border>
      <left/>
      <right style="thick"/>
      <top/>
      <bottom style="thick"/>
    </border>
    <border>
      <left style="thick"/>
      <right/>
      <top style="thin"/>
      <bottom style="double"/>
    </border>
    <border>
      <left style="thick"/>
      <right/>
      <top/>
      <bottom style="double"/>
    </border>
    <border>
      <left/>
      <right/>
      <top/>
      <bottom style="medium"/>
    </border>
    <border>
      <left/>
      <right style="medium"/>
      <top/>
      <bottom style="medium"/>
    </border>
    <border>
      <left/>
      <right/>
      <top style="medium"/>
      <bottom style="double"/>
    </border>
    <border>
      <left style="thin"/>
      <right style="medium"/>
      <top style="medium"/>
      <bottom style="double"/>
    </border>
    <border>
      <left/>
      <right style="thick"/>
      <top style="thick"/>
      <bottom/>
    </border>
    <border>
      <left/>
      <right style="medium"/>
      <top style="thin"/>
      <bottom style="double"/>
    </border>
    <border>
      <left style="medium"/>
      <right/>
      <top/>
      <bottom style="medium"/>
    </border>
    <border>
      <left style="medium"/>
      <right/>
      <top style="thin"/>
      <bottom style="medium"/>
    </border>
    <border>
      <left/>
      <right/>
      <top style="thin"/>
      <bottom style="medium"/>
    </border>
    <border>
      <left/>
      <right style="thick"/>
      <top style="thin"/>
      <bottom style="medium"/>
    </border>
    <border>
      <left/>
      <right style="medium"/>
      <top style="double"/>
      <bottom/>
    </border>
    <border>
      <left/>
      <right style="medium"/>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medium"/>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style="thick"/>
      <top/>
      <bottom style="thin"/>
    </border>
    <border>
      <left style="medium"/>
      <right style="thin"/>
      <top/>
      <bottom style="thin"/>
    </border>
    <border>
      <left/>
      <right style="thick"/>
      <top style="medium"/>
      <bottom/>
    </border>
    <border>
      <left/>
      <right/>
      <top style="medium"/>
      <bottom style="thin"/>
    </border>
    <border>
      <left/>
      <right style="medium"/>
      <top style="medium"/>
      <bottom style="thin"/>
    </border>
    <border>
      <left style="thin"/>
      <right/>
      <top style="thin"/>
      <bottom style="double"/>
    </border>
    <border>
      <left/>
      <right style="thin"/>
      <top style="thin"/>
      <bottom style="double"/>
    </border>
    <border>
      <left/>
      <right style="thick"/>
      <top style="thin"/>
      <bottom style="double"/>
    </border>
    <border>
      <left>
        <color indexed="63"/>
      </left>
      <right/>
      <top style="thin"/>
      <bottom style="thin"/>
    </border>
    <border>
      <left/>
      <right style="thick"/>
      <top/>
      <bottom style="thin"/>
    </border>
    <border>
      <left/>
      <right/>
      <top style="thick"/>
      <bottom style="thin"/>
    </border>
    <border>
      <left/>
      <right style="thick"/>
      <top style="thick"/>
      <bottom style="thin"/>
    </border>
    <border>
      <left/>
      <right>
        <color indexed="63"/>
      </right>
      <top/>
      <bottom style="thin"/>
    </border>
    <border>
      <left>
        <color indexed="63"/>
      </left>
      <right>
        <color indexed="63"/>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72" fillId="10"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6" borderId="0" applyNumberFormat="0" applyBorder="0" applyAlignment="0" applyProtection="0"/>
    <xf numFmtId="0" fontId="72" fillId="10" borderId="0" applyNumberFormat="0" applyBorder="0" applyAlignment="0" applyProtection="0"/>
    <xf numFmtId="0" fontId="72" fillId="3"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64" fillId="14" borderId="0" applyNumberFormat="0" applyBorder="0" applyAlignment="0" applyProtection="0"/>
    <xf numFmtId="0" fontId="68" fillId="2" borderId="1" applyNumberFormat="0" applyAlignment="0" applyProtection="0"/>
    <xf numFmtId="0" fontId="70"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63" fillId="1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6" fillId="3" borderId="1" applyNumberFormat="0" applyAlignment="0" applyProtection="0"/>
    <xf numFmtId="0" fontId="69" fillId="0" borderId="6" applyNumberFormat="0" applyFill="0" applyAlignment="0" applyProtection="0"/>
    <xf numFmtId="0" fontId="65" fillId="8" borderId="0" applyNumberFormat="0" applyBorder="0" applyAlignment="0" applyProtection="0"/>
    <xf numFmtId="0" fontId="7" fillId="0" borderId="0">
      <alignment/>
      <protection/>
    </xf>
    <xf numFmtId="0" fontId="5" fillId="0" borderId="0">
      <alignment/>
      <protection/>
    </xf>
    <xf numFmtId="166" fontId="22" fillId="0" borderId="0">
      <alignment/>
      <protection/>
    </xf>
    <xf numFmtId="0" fontId="7" fillId="0" borderId="0">
      <alignment/>
      <protection/>
    </xf>
    <xf numFmtId="0" fontId="9" fillId="0" borderId="0">
      <alignment/>
      <protection/>
    </xf>
    <xf numFmtId="0" fontId="0" fillId="4" borderId="7" applyNumberFormat="0" applyFont="0" applyAlignment="0" applyProtection="0"/>
    <xf numFmtId="0" fontId="67" fillId="2"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1" fillId="0" borderId="9" applyNumberFormat="0" applyFill="0" applyAlignment="0" applyProtection="0"/>
    <xf numFmtId="0" fontId="49" fillId="0" borderId="0" applyNumberFormat="0" applyFill="0" applyBorder="0" applyAlignment="0" applyProtection="0"/>
  </cellStyleXfs>
  <cellXfs count="426">
    <xf numFmtId="0" fontId="0" fillId="0" borderId="0" xfId="0" applyAlignment="1">
      <alignment/>
    </xf>
    <xf numFmtId="0" fontId="1" fillId="0" borderId="0" xfId="0" applyFont="1" applyAlignment="1">
      <alignment/>
    </xf>
    <xf numFmtId="0" fontId="6" fillId="0" borderId="10" xfId="56" applyFont="1" applyBorder="1" applyAlignment="1" applyProtection="1">
      <alignment horizontal="center"/>
      <protection locked="0"/>
    </xf>
    <xf numFmtId="2" fontId="6" fillId="0" borderId="10" xfId="56" applyNumberFormat="1" applyFont="1" applyBorder="1" applyAlignment="1" applyProtection="1">
      <alignment horizontal="center"/>
      <protection locked="0"/>
    </xf>
    <xf numFmtId="0" fontId="6" fillId="0" borderId="0" xfId="56" applyFont="1" applyBorder="1" applyAlignment="1" applyProtection="1">
      <alignment horizontal="centerContinuous"/>
      <protection locked="0"/>
    </xf>
    <xf numFmtId="2" fontId="6" fillId="0" borderId="0" xfId="56" applyNumberFormat="1" applyFont="1" applyBorder="1" applyAlignment="1" applyProtection="1">
      <alignment horizontal="centerContinuous"/>
      <protection locked="0"/>
    </xf>
    <xf numFmtId="0" fontId="6" fillId="0" borderId="0" xfId="56" applyFont="1" applyBorder="1" applyAlignment="1" applyProtection="1">
      <alignment horizontal="left"/>
      <protection locked="0"/>
    </xf>
    <xf numFmtId="2" fontId="9" fillId="0" borderId="0" xfId="56" applyNumberFormat="1" applyFont="1" applyBorder="1" applyAlignment="1" applyProtection="1">
      <alignment horizontal="center"/>
      <protection locked="0"/>
    </xf>
    <xf numFmtId="0" fontId="9" fillId="0" borderId="0" xfId="56" applyFont="1" applyBorder="1" applyAlignment="1" applyProtection="1">
      <alignment horizontal="center" vertical="center"/>
      <protection locked="0"/>
    </xf>
    <xf numFmtId="0" fontId="9" fillId="0" borderId="0" xfId="56" applyFont="1" applyBorder="1" applyAlignment="1" applyProtection="1">
      <alignment horizontal="left"/>
      <protection locked="0"/>
    </xf>
    <xf numFmtId="0" fontId="9" fillId="0" borderId="0" xfId="56" applyFont="1" applyBorder="1" applyAlignment="1" applyProtection="1" quotePrefix="1">
      <alignment horizontal="center" vertical="center"/>
      <protection locked="0"/>
    </xf>
    <xf numFmtId="0" fontId="9" fillId="0" borderId="0" xfId="56" applyFont="1" applyBorder="1" applyAlignment="1" applyProtection="1">
      <alignment horizontal="center"/>
      <protection locked="0"/>
    </xf>
    <xf numFmtId="2" fontId="9" fillId="0" borderId="0" xfId="56" applyNumberFormat="1" applyFont="1" applyFill="1" applyBorder="1" applyAlignment="1" applyProtection="1">
      <alignment horizontal="center" vertical="center"/>
      <protection locked="0"/>
    </xf>
    <xf numFmtId="0" fontId="9" fillId="0" borderId="0" xfId="56" applyFont="1" applyBorder="1" applyAlignment="1" applyProtection="1">
      <alignment horizontal="left" vertical="center"/>
      <protection locked="0"/>
    </xf>
    <xf numFmtId="164" fontId="9" fillId="0" borderId="0" xfId="56" applyNumberFormat="1" applyFont="1" applyBorder="1" applyAlignment="1" applyProtection="1">
      <alignment horizontal="center"/>
      <protection locked="0"/>
    </xf>
    <xf numFmtId="2" fontId="9" fillId="0" borderId="0" xfId="56" applyNumberFormat="1" applyFont="1" applyFill="1" applyBorder="1" applyAlignment="1" applyProtection="1">
      <alignment horizontal="center"/>
      <protection locked="0"/>
    </xf>
    <xf numFmtId="164" fontId="9" fillId="0" borderId="0" xfId="56" applyNumberFormat="1" applyFont="1" applyBorder="1" applyAlignment="1" applyProtection="1">
      <alignment horizontal="left"/>
      <protection locked="0"/>
    </xf>
    <xf numFmtId="164" fontId="12" fillId="0" borderId="0" xfId="56" applyNumberFormat="1" applyFont="1" applyBorder="1" applyAlignment="1" applyProtection="1">
      <alignment horizontal="center"/>
      <protection locked="0"/>
    </xf>
    <xf numFmtId="164" fontId="9" fillId="0" borderId="0" xfId="56" applyNumberFormat="1" applyFont="1" applyBorder="1" applyAlignment="1" applyProtection="1" quotePrefix="1">
      <alignment horizontal="center"/>
      <protection locked="0"/>
    </xf>
    <xf numFmtId="164" fontId="6" fillId="0" borderId="0" xfId="56" applyNumberFormat="1" applyFont="1" applyBorder="1" applyAlignment="1" applyProtection="1">
      <alignment horizontal="left"/>
      <protection locked="0"/>
    </xf>
    <xf numFmtId="0" fontId="14" fillId="0" borderId="0" xfId="55" applyFont="1" applyFill="1" applyBorder="1" applyAlignment="1" applyProtection="1">
      <alignment horizontal="center"/>
      <protection/>
    </xf>
    <xf numFmtId="164" fontId="9" fillId="0" borderId="11" xfId="56" applyNumberFormat="1" applyFont="1" applyBorder="1" applyAlignment="1" applyProtection="1">
      <alignment horizontal="center"/>
      <protection locked="0"/>
    </xf>
    <xf numFmtId="164" fontId="9" fillId="0" borderId="11" xfId="56" applyNumberFormat="1" applyFont="1" applyBorder="1" applyAlignment="1" applyProtection="1" quotePrefix="1">
      <alignment horizontal="center"/>
      <protection locked="0"/>
    </xf>
    <xf numFmtId="2" fontId="6" fillId="0" borderId="11" xfId="56" applyNumberFormat="1" applyFont="1" applyBorder="1" applyAlignment="1" applyProtection="1">
      <alignment horizontal="center"/>
      <protection locked="0"/>
    </xf>
    <xf numFmtId="164" fontId="9" fillId="0" borderId="0" xfId="56" applyNumberFormat="1" applyFont="1" applyBorder="1" applyAlignment="1" applyProtection="1">
      <alignment horizontal="left" vertical="center"/>
      <protection locked="0"/>
    </xf>
    <xf numFmtId="164" fontId="9" fillId="0" borderId="0" xfId="56" applyNumberFormat="1" applyFont="1" applyBorder="1" applyAlignment="1" applyProtection="1">
      <alignment horizontal="center" vertical="center"/>
      <protection locked="0"/>
    </xf>
    <xf numFmtId="0" fontId="14" fillId="0" borderId="0" xfId="55" applyFont="1" applyFill="1" applyBorder="1" applyAlignment="1" applyProtection="1">
      <alignment horizontal="center" vertical="center"/>
      <protection/>
    </xf>
    <xf numFmtId="0" fontId="9" fillId="0" borderId="0" xfId="56" applyFont="1" applyBorder="1" applyAlignment="1" applyProtection="1">
      <alignment vertical="center"/>
      <protection locked="0"/>
    </xf>
    <xf numFmtId="164" fontId="6" fillId="0" borderId="0" xfId="56" applyNumberFormat="1" applyFont="1" applyBorder="1" applyAlignment="1" applyProtection="1">
      <alignment horizontal="left" vertical="center"/>
      <protection locked="0"/>
    </xf>
    <xf numFmtId="0" fontId="9" fillId="0" borderId="11" xfId="56" applyFont="1" applyBorder="1" applyAlignment="1" applyProtection="1">
      <alignment horizontal="left" vertical="center"/>
      <protection locked="0"/>
    </xf>
    <xf numFmtId="164" fontId="9" fillId="0" borderId="11" xfId="56" applyNumberFormat="1" applyFont="1" applyBorder="1" applyAlignment="1" applyProtection="1">
      <alignment horizontal="center" vertical="center"/>
      <protection locked="0"/>
    </xf>
    <xf numFmtId="0" fontId="9" fillId="0" borderId="11" xfId="56" applyFont="1" applyBorder="1" applyAlignment="1" applyProtection="1">
      <alignment horizontal="center" vertical="center"/>
      <protection locked="0"/>
    </xf>
    <xf numFmtId="0" fontId="16" fillId="0" borderId="0" xfId="56" applyFont="1" applyBorder="1" applyAlignment="1" applyProtection="1" quotePrefix="1">
      <alignment horizontal="left"/>
      <protection locked="0"/>
    </xf>
    <xf numFmtId="0" fontId="16" fillId="0" borderId="0" xfId="56" applyFont="1" applyBorder="1" applyAlignment="1" applyProtection="1">
      <alignment horizontal="left"/>
      <protection locked="0"/>
    </xf>
    <xf numFmtId="0" fontId="20" fillId="0" borderId="0" xfId="56" applyFont="1" applyBorder="1" applyAlignment="1" applyProtection="1">
      <alignment horizontal="center"/>
      <protection locked="0"/>
    </xf>
    <xf numFmtId="0" fontId="21" fillId="0" borderId="0" xfId="56" applyFont="1" applyBorder="1" applyAlignment="1" applyProtection="1">
      <alignment horizontal="left"/>
      <protection locked="0"/>
    </xf>
    <xf numFmtId="166" fontId="20" fillId="0" borderId="0" xfId="57" applyFont="1" applyBorder="1" applyAlignment="1" applyProtection="1">
      <alignment horizontal="left"/>
      <protection/>
    </xf>
    <xf numFmtId="0" fontId="20" fillId="0" borderId="0" xfId="55" applyFont="1" applyBorder="1" applyAlignment="1">
      <alignment/>
      <protection/>
    </xf>
    <xf numFmtId="0" fontId="16" fillId="0" borderId="0" xfId="59" applyFont="1" applyBorder="1" quotePrefix="1">
      <alignment/>
      <protection/>
    </xf>
    <xf numFmtId="0" fontId="16" fillId="0" borderId="0" xfId="56" applyFont="1" applyFill="1" applyBorder="1" applyAlignment="1" applyProtection="1" quotePrefix="1">
      <alignment horizontal="left"/>
      <protection locked="0"/>
    </xf>
    <xf numFmtId="0" fontId="19" fillId="0" borderId="0" xfId="56" applyFont="1" applyFill="1" applyBorder="1" applyAlignment="1" applyProtection="1">
      <alignment horizontal="left"/>
      <protection locked="0"/>
    </xf>
    <xf numFmtId="0" fontId="11" fillId="0" borderId="0" xfId="56" applyFont="1" applyBorder="1" applyAlignment="1" applyProtection="1">
      <alignment horizontal="left"/>
      <protection locked="0"/>
    </xf>
    <xf numFmtId="2" fontId="6" fillId="0" borderId="10" xfId="55" applyNumberFormat="1" applyFont="1" applyBorder="1" applyAlignment="1" applyProtection="1">
      <alignment horizontal="center" vertical="center" wrapText="1"/>
      <protection locked="0"/>
    </xf>
    <xf numFmtId="2" fontId="6" fillId="0" borderId="0" xfId="55" applyNumberFormat="1" applyFont="1" applyBorder="1" applyAlignment="1" applyProtection="1">
      <alignment horizontal="centerContinuous" vertical="center" wrapText="1"/>
      <protection locked="0"/>
    </xf>
    <xf numFmtId="2" fontId="9" fillId="0" borderId="0" xfId="58" applyNumberFormat="1" applyFont="1" applyFill="1" applyBorder="1" applyAlignment="1">
      <alignment horizontal="center"/>
      <protection/>
    </xf>
    <xf numFmtId="2" fontId="9" fillId="0" borderId="11" xfId="56" applyNumberFormat="1" applyFont="1" applyFill="1" applyBorder="1" applyAlignment="1" applyProtection="1">
      <alignment horizontal="center"/>
      <protection locked="0"/>
    </xf>
    <xf numFmtId="2" fontId="9" fillId="0" borderId="11" xfId="56" applyNumberFormat="1" applyFont="1" applyFill="1" applyBorder="1" applyAlignment="1" applyProtection="1">
      <alignment horizontal="center" vertical="center"/>
      <protection locked="0"/>
    </xf>
    <xf numFmtId="2" fontId="9" fillId="0" borderId="0" xfId="56" applyNumberFormat="1" applyFont="1" applyBorder="1" applyAlignment="1" applyProtection="1">
      <alignment horizontal="center" vertical="center"/>
      <protection locked="0"/>
    </xf>
    <xf numFmtId="2" fontId="20" fillId="0" borderId="0" xfId="56" applyNumberFormat="1" applyFont="1" applyBorder="1" applyAlignment="1" applyProtection="1">
      <alignment horizontal="center"/>
      <protection locked="0"/>
    </xf>
    <xf numFmtId="2" fontId="20" fillId="0" borderId="0" xfId="55" applyNumberFormat="1" applyFont="1" applyBorder="1" applyAlignment="1">
      <alignment horizontal="center"/>
      <protection/>
    </xf>
    <xf numFmtId="2" fontId="7" fillId="0" borderId="0" xfId="0" applyNumberFormat="1" applyFont="1" applyAlignment="1">
      <alignment horizontal="left" indent="2"/>
    </xf>
    <xf numFmtId="2" fontId="11" fillId="0" borderId="0" xfId="56" applyNumberFormat="1" applyFont="1" applyBorder="1" applyAlignment="1" applyProtection="1">
      <alignment horizontal="left"/>
      <protection locked="0"/>
    </xf>
    <xf numFmtId="2" fontId="0" fillId="0" borderId="0" xfId="0" applyNumberFormat="1" applyAlignment="1">
      <alignment/>
    </xf>
    <xf numFmtId="2" fontId="6" fillId="0" borderId="0" xfId="55" applyNumberFormat="1" applyFont="1" applyBorder="1" applyAlignment="1" applyProtection="1">
      <alignment horizontal="center" vertical="center" wrapText="1"/>
      <protection locked="0"/>
    </xf>
    <xf numFmtId="0" fontId="14" fillId="0" borderId="0" xfId="0" applyFont="1" applyAlignment="1">
      <alignment horizontal="center"/>
    </xf>
    <xf numFmtId="164" fontId="6" fillId="0" borderId="0" xfId="56" applyNumberFormat="1" applyFont="1" applyBorder="1" applyAlignment="1" applyProtection="1">
      <alignment horizontal="center"/>
      <protection locked="0"/>
    </xf>
    <xf numFmtId="2" fontId="6" fillId="0" borderId="0" xfId="56" applyNumberFormat="1" applyFont="1" applyFill="1" applyBorder="1" applyAlignment="1" applyProtection="1">
      <alignment horizontal="center"/>
      <protection locked="0"/>
    </xf>
    <xf numFmtId="2" fontId="6" fillId="0" borderId="0" xfId="56" applyNumberFormat="1" applyFont="1" applyBorder="1" applyAlignment="1" applyProtection="1">
      <alignment horizontal="center"/>
      <protection locked="0"/>
    </xf>
    <xf numFmtId="164" fontId="6" fillId="0" borderId="0" xfId="56" applyNumberFormat="1" applyFont="1" applyBorder="1" applyAlignment="1" applyProtection="1">
      <alignment horizontal="center" vertical="center"/>
      <protection locked="0"/>
    </xf>
    <xf numFmtId="0" fontId="6" fillId="0" borderId="0" xfId="56" applyFont="1" applyBorder="1" applyAlignment="1" applyProtection="1">
      <alignment horizontal="center" vertical="center"/>
      <protection locked="0"/>
    </xf>
    <xf numFmtId="2" fontId="6" fillId="0" borderId="0" xfId="58" applyNumberFormat="1" applyFont="1" applyBorder="1" applyAlignment="1">
      <alignment horizontal="center"/>
      <protection/>
    </xf>
    <xf numFmtId="11" fontId="6" fillId="0" borderId="0" xfId="56" applyNumberFormat="1" applyFont="1" applyFill="1" applyBorder="1" applyAlignment="1" applyProtection="1">
      <alignment horizontal="center"/>
      <protection locked="0"/>
    </xf>
    <xf numFmtId="11" fontId="6" fillId="0" borderId="0" xfId="56" applyNumberFormat="1" applyFont="1" applyBorder="1" applyAlignment="1" applyProtection="1">
      <alignment horizontal="center" vertical="center"/>
      <protection locked="0"/>
    </xf>
    <xf numFmtId="11" fontId="6" fillId="0" borderId="0" xfId="58" applyNumberFormat="1" applyFont="1" applyBorder="1" applyAlignment="1">
      <alignment horizontal="center"/>
      <protection/>
    </xf>
    <xf numFmtId="0" fontId="6" fillId="17" borderId="10" xfId="56" applyFont="1" applyFill="1" applyBorder="1" applyAlignment="1" applyProtection="1">
      <alignment horizontal="centerContinuous" vertical="center"/>
      <protection locked="0"/>
    </xf>
    <xf numFmtId="2" fontId="6" fillId="17" borderId="10" xfId="56" applyNumberFormat="1" applyFont="1" applyFill="1" applyBorder="1" applyAlignment="1" applyProtection="1">
      <alignment horizontal="centerContinuous" vertical="center"/>
      <protection locked="0"/>
    </xf>
    <xf numFmtId="2" fontId="6" fillId="17" borderId="10" xfId="55" applyNumberFormat="1" applyFont="1" applyFill="1" applyBorder="1" applyAlignment="1" applyProtection="1">
      <alignment horizontal="centerContinuous" vertical="center" wrapText="1"/>
      <protection locked="0"/>
    </xf>
    <xf numFmtId="0" fontId="6" fillId="17" borderId="10" xfId="56" applyFont="1" applyFill="1" applyBorder="1" applyAlignment="1" applyProtection="1">
      <alignment horizontal="centerContinuous"/>
      <protection locked="0"/>
    </xf>
    <xf numFmtId="2" fontId="6" fillId="17" borderId="10" xfId="56" applyNumberFormat="1" applyFont="1" applyFill="1" applyBorder="1" applyAlignment="1" applyProtection="1">
      <alignment horizontal="centerContinuous"/>
      <protection locked="0"/>
    </xf>
    <xf numFmtId="2" fontId="6" fillId="0" borderId="11" xfId="55" applyNumberFormat="1" applyFont="1" applyBorder="1" applyAlignment="1" applyProtection="1">
      <alignment horizontal="center" vertical="center" wrapText="1"/>
      <protection locked="0"/>
    </xf>
    <xf numFmtId="0" fontId="0" fillId="0" borderId="11" xfId="0" applyBorder="1" applyAlignment="1">
      <alignment/>
    </xf>
    <xf numFmtId="0" fontId="0" fillId="17" borderId="10" xfId="0" applyFill="1" applyBorder="1" applyAlignment="1">
      <alignment/>
    </xf>
    <xf numFmtId="0" fontId="9" fillId="0" borderId="11" xfId="56" applyFont="1" applyBorder="1" applyAlignment="1" applyProtection="1">
      <alignment horizontal="left"/>
      <protection locked="0"/>
    </xf>
    <xf numFmtId="2" fontId="9" fillId="0" borderId="11" xfId="56" applyNumberFormat="1" applyFont="1" applyBorder="1" applyAlignment="1" applyProtection="1">
      <alignment horizontal="center"/>
      <protection locked="0"/>
    </xf>
    <xf numFmtId="2" fontId="9" fillId="0" borderId="11" xfId="58" applyNumberFormat="1" applyFont="1" applyFill="1" applyBorder="1" applyAlignment="1">
      <alignment horizontal="center"/>
      <protection/>
    </xf>
    <xf numFmtId="164" fontId="9" fillId="0" borderId="11" xfId="56" applyNumberFormat="1" applyFont="1" applyBorder="1" applyAlignment="1" applyProtection="1">
      <alignment horizontal="left"/>
      <protection locked="0"/>
    </xf>
    <xf numFmtId="0" fontId="6" fillId="6" borderId="12" xfId="56" applyFont="1" applyFill="1" applyBorder="1" applyAlignment="1" applyProtection="1">
      <alignment horizontal="left" vertical="center"/>
      <protection locked="0"/>
    </xf>
    <xf numFmtId="0" fontId="6" fillId="6" borderId="13" xfId="56" applyFont="1" applyFill="1" applyBorder="1" applyAlignment="1" applyProtection="1">
      <alignment horizontal="center" vertical="center"/>
      <protection locked="0"/>
    </xf>
    <xf numFmtId="11" fontId="6" fillId="6" borderId="14" xfId="56" applyNumberFormat="1" applyFont="1" applyFill="1" applyBorder="1" applyAlignment="1" applyProtection="1">
      <alignment horizontal="center" vertical="center"/>
      <protection locked="0"/>
    </xf>
    <xf numFmtId="0" fontId="6" fillId="6" borderId="15" xfId="56" applyFont="1" applyFill="1" applyBorder="1" applyAlignment="1" applyProtection="1">
      <alignment horizontal="left" vertical="center"/>
      <protection locked="0"/>
    </xf>
    <xf numFmtId="0" fontId="6" fillId="6" borderId="11" xfId="56" applyFont="1" applyFill="1" applyBorder="1" applyAlignment="1" applyProtection="1">
      <alignment horizontal="center" vertical="center"/>
      <protection locked="0"/>
    </xf>
    <xf numFmtId="11" fontId="6" fillId="6" borderId="16" xfId="56" applyNumberFormat="1" applyFont="1" applyFill="1" applyBorder="1" applyAlignment="1" applyProtection="1">
      <alignment horizontal="center" vertical="center"/>
      <protection locked="0"/>
    </xf>
    <xf numFmtId="0" fontId="6" fillId="0" borderId="11" xfId="56" applyFont="1" applyBorder="1" applyAlignment="1" applyProtection="1">
      <alignment horizontal="center"/>
      <protection locked="0"/>
    </xf>
    <xf numFmtId="0" fontId="1" fillId="0" borderId="17" xfId="0" applyFont="1" applyBorder="1" applyAlignment="1">
      <alignment/>
    </xf>
    <xf numFmtId="0" fontId="1" fillId="0" borderId="0" xfId="0" applyFont="1" applyBorder="1" applyAlignment="1">
      <alignment/>
    </xf>
    <xf numFmtId="0" fontId="0" fillId="0" borderId="17" xfId="0" applyBorder="1" applyAlignment="1">
      <alignment/>
    </xf>
    <xf numFmtId="0" fontId="0" fillId="0" borderId="0" xfId="0" applyBorder="1" applyAlignment="1">
      <alignment/>
    </xf>
    <xf numFmtId="165" fontId="0" fillId="0" borderId="0" xfId="0" applyNumberFormat="1" applyBorder="1" applyAlignment="1">
      <alignment/>
    </xf>
    <xf numFmtId="11" fontId="0" fillId="0" borderId="0" xfId="0" applyNumberFormat="1" applyFill="1" applyBorder="1" applyAlignment="1">
      <alignment/>
    </xf>
    <xf numFmtId="0" fontId="0" fillId="0" borderId="0" xfId="0" applyFill="1" applyAlignment="1">
      <alignment/>
    </xf>
    <xf numFmtId="0" fontId="1" fillId="0" borderId="0" xfId="0" applyFont="1" applyAlignment="1">
      <alignment horizontal="center"/>
    </xf>
    <xf numFmtId="0" fontId="1" fillId="0" borderId="18" xfId="0" applyFont="1" applyBorder="1" applyAlignment="1">
      <alignment horizontal="center"/>
    </xf>
    <xf numFmtId="0" fontId="0" fillId="0" borderId="19" xfId="0" applyBorder="1" applyAlignment="1">
      <alignment/>
    </xf>
    <xf numFmtId="0" fontId="24" fillId="0" borderId="0" xfId="0" applyFont="1" applyBorder="1" applyAlignment="1">
      <alignment/>
    </xf>
    <xf numFmtId="0" fontId="1" fillId="0" borderId="20" xfId="0" applyFont="1" applyBorder="1" applyAlignment="1">
      <alignment/>
    </xf>
    <xf numFmtId="0" fontId="0" fillId="0" borderId="20" xfId="0" applyBorder="1" applyAlignment="1">
      <alignment/>
    </xf>
    <xf numFmtId="0" fontId="25" fillId="0" borderId="21" xfId="0" applyFont="1" applyBorder="1" applyAlignment="1">
      <alignment wrapText="1"/>
    </xf>
    <xf numFmtId="0" fontId="0" fillId="0" borderId="21" xfId="0" applyBorder="1" applyAlignment="1">
      <alignment wrapText="1"/>
    </xf>
    <xf numFmtId="0" fontId="0" fillId="0" borderId="19" xfId="0" applyBorder="1" applyAlignment="1">
      <alignment wrapText="1"/>
    </xf>
    <xf numFmtId="0" fontId="0" fillId="0" borderId="0" xfId="0" applyAlignment="1">
      <alignment horizontal="center"/>
    </xf>
    <xf numFmtId="165" fontId="0" fillId="0" borderId="0" xfId="0" applyNumberFormat="1" applyBorder="1" applyAlignment="1">
      <alignment horizontal="right"/>
    </xf>
    <xf numFmtId="0" fontId="28" fillId="0" borderId="0" xfId="0" applyFont="1" applyAlignment="1">
      <alignment horizontal="left" wrapText="1"/>
    </xf>
    <xf numFmtId="0" fontId="0" fillId="0" borderId="0" xfId="0" applyFill="1" applyBorder="1" applyAlignment="1" quotePrefix="1">
      <alignment horizontal="center"/>
    </xf>
    <xf numFmtId="0" fontId="1" fillId="0" borderId="21" xfId="0" applyFont="1" applyBorder="1" applyAlignment="1">
      <alignment horizontal="center" wrapText="1"/>
    </xf>
    <xf numFmtId="0" fontId="0" fillId="0" borderId="0" xfId="0" applyBorder="1" applyAlignment="1">
      <alignment horizontal="center"/>
    </xf>
    <xf numFmtId="0" fontId="45" fillId="0" borderId="0" xfId="0" applyFont="1" applyBorder="1" applyAlignment="1">
      <alignment/>
    </xf>
    <xf numFmtId="0" fontId="28" fillId="0" borderId="0" xfId="0" applyFont="1" applyBorder="1" applyAlignment="1">
      <alignment horizontal="left" wrapText="1"/>
    </xf>
    <xf numFmtId="165" fontId="0" fillId="0" borderId="22" xfId="0" applyNumberFormat="1" applyBorder="1" applyAlignment="1">
      <alignment/>
    </xf>
    <xf numFmtId="165" fontId="0" fillId="0" borderId="23" xfId="0" applyNumberFormat="1" applyBorder="1" applyAlignment="1">
      <alignment horizontal="right"/>
    </xf>
    <xf numFmtId="0" fontId="1" fillId="0" borderId="24" xfId="0" applyFont="1" applyBorder="1" applyAlignment="1">
      <alignment horizontal="center" wrapText="1"/>
    </xf>
    <xf numFmtId="0" fontId="1" fillId="0" borderId="25" xfId="0" applyFont="1" applyBorder="1" applyAlignment="1">
      <alignment horizontal="center"/>
    </xf>
    <xf numFmtId="0" fontId="1" fillId="0" borderId="26" xfId="0" applyFont="1" applyBorder="1" applyAlignment="1">
      <alignment/>
    </xf>
    <xf numFmtId="0" fontId="30" fillId="0" borderId="13" xfId="0" applyFont="1" applyBorder="1" applyAlignment="1">
      <alignment/>
    </xf>
    <xf numFmtId="0" fontId="31" fillId="0" borderId="13" xfId="0" applyFont="1" applyBorder="1" applyAlignment="1">
      <alignment/>
    </xf>
    <xf numFmtId="0" fontId="30" fillId="0" borderId="0" xfId="0" applyFont="1" applyAlignment="1">
      <alignment/>
    </xf>
    <xf numFmtId="0" fontId="30" fillId="0" borderId="0" xfId="0" applyFont="1" applyBorder="1" applyAlignment="1">
      <alignment/>
    </xf>
    <xf numFmtId="0" fontId="31" fillId="0" borderId="0" xfId="0" applyFont="1" applyBorder="1" applyAlignment="1">
      <alignment horizontal="center"/>
    </xf>
    <xf numFmtId="0" fontId="31" fillId="0" borderId="11" xfId="0" applyFont="1" applyBorder="1" applyAlignment="1">
      <alignment horizontal="center"/>
    </xf>
    <xf numFmtId="0" fontId="30" fillId="0" borderId="0" xfId="0" applyFont="1" applyBorder="1" applyAlignment="1">
      <alignment horizontal="center"/>
    </xf>
    <xf numFmtId="0" fontId="30" fillId="0" borderId="0" xfId="0" applyFont="1" applyFill="1" applyBorder="1" applyAlignment="1">
      <alignment horizontal="center"/>
    </xf>
    <xf numFmtId="0" fontId="30" fillId="0" borderId="11" xfId="0" applyFont="1" applyFill="1" applyBorder="1" applyAlignment="1">
      <alignment horizontal="left"/>
    </xf>
    <xf numFmtId="0" fontId="30" fillId="0" borderId="11" xfId="0" applyFont="1" applyBorder="1" applyAlignment="1">
      <alignment horizontal="center"/>
    </xf>
    <xf numFmtId="0" fontId="34" fillId="0" borderId="0" xfId="0" applyFont="1" applyAlignment="1">
      <alignment/>
    </xf>
    <xf numFmtId="0" fontId="15" fillId="6" borderId="11" xfId="56" applyFont="1" applyFill="1" applyBorder="1" applyAlignment="1" applyProtection="1">
      <alignment horizontal="center" vertical="center"/>
      <protection locked="0"/>
    </xf>
    <xf numFmtId="0" fontId="2" fillId="0" borderId="0" xfId="0" applyFont="1" applyAlignment="1">
      <alignment/>
    </xf>
    <xf numFmtId="0" fontId="16" fillId="17" borderId="0" xfId="56" applyFont="1" applyFill="1" applyBorder="1" applyAlignment="1" applyProtection="1" quotePrefix="1">
      <alignment horizontal="left"/>
      <protection locked="0"/>
    </xf>
    <xf numFmtId="0" fontId="16" fillId="17" borderId="0" xfId="56" applyFont="1" applyFill="1" applyBorder="1" applyAlignment="1" applyProtection="1" quotePrefix="1">
      <alignment/>
      <protection locked="0"/>
    </xf>
    <xf numFmtId="0" fontId="16" fillId="17" borderId="0" xfId="59" applyFont="1" applyFill="1" applyBorder="1" quotePrefix="1">
      <alignment/>
      <protection/>
    </xf>
    <xf numFmtId="11" fontId="0" fillId="0" borderId="0" xfId="0" applyNumberFormat="1" applyAlignment="1">
      <alignment/>
    </xf>
    <xf numFmtId="2" fontId="38" fillId="0" borderId="0" xfId="56" applyNumberFormat="1" applyFont="1" applyFill="1" applyBorder="1" applyAlignment="1" applyProtection="1">
      <alignment horizontal="center"/>
      <protection locked="0"/>
    </xf>
    <xf numFmtId="0" fontId="0" fillId="0" borderId="27" xfId="0" applyBorder="1" applyAlignment="1">
      <alignment/>
    </xf>
    <xf numFmtId="0" fontId="0" fillId="0" borderId="28" xfId="0" applyBorder="1" applyAlignment="1">
      <alignment/>
    </xf>
    <xf numFmtId="0" fontId="47" fillId="0" borderId="11" xfId="0" applyFont="1" applyBorder="1" applyAlignment="1">
      <alignment/>
    </xf>
    <xf numFmtId="0" fontId="0" fillId="0" borderId="27" xfId="0" applyFont="1" applyBorder="1" applyAlignment="1">
      <alignment/>
    </xf>
    <xf numFmtId="0" fontId="0" fillId="0" borderId="29" xfId="0" applyBorder="1" applyAlignment="1">
      <alignment/>
    </xf>
    <xf numFmtId="0" fontId="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4" fillId="0" borderId="0" xfId="0" applyFont="1" applyAlignment="1">
      <alignment/>
    </xf>
    <xf numFmtId="2" fontId="6" fillId="0" borderId="0" xfId="55" applyNumberFormat="1" applyFont="1" applyFill="1" applyBorder="1" applyAlignment="1" applyProtection="1">
      <alignment horizontal="centerContinuous" vertical="center" wrapText="1"/>
      <protection locked="0"/>
    </xf>
    <xf numFmtId="11" fontId="6" fillId="0" borderId="0" xfId="56" applyNumberFormat="1" applyFont="1" applyFill="1" applyBorder="1" applyAlignment="1" applyProtection="1">
      <alignment horizontal="center" vertical="center"/>
      <protection locked="0"/>
    </xf>
    <xf numFmtId="0" fontId="46" fillId="0" borderId="0" xfId="0" applyFont="1" applyFill="1" applyBorder="1" applyAlignment="1">
      <alignment/>
    </xf>
    <xf numFmtId="0" fontId="1" fillId="0" borderId="36" xfId="0" applyFont="1" applyFill="1" applyBorder="1" applyAlignment="1">
      <alignment/>
    </xf>
    <xf numFmtId="0" fontId="1" fillId="0" borderId="37" xfId="0" applyFont="1" applyFill="1" applyBorder="1" applyAlignment="1">
      <alignment/>
    </xf>
    <xf numFmtId="0" fontId="48" fillId="17" borderId="0" xfId="0" applyFont="1" applyFill="1" applyAlignment="1">
      <alignment/>
    </xf>
    <xf numFmtId="0" fontId="1" fillId="17" borderId="0" xfId="0" applyFont="1" applyFill="1" applyAlignment="1">
      <alignment horizontal="center"/>
    </xf>
    <xf numFmtId="0" fontId="0" fillId="17" borderId="0" xfId="0" applyFill="1" applyAlignment="1">
      <alignment/>
    </xf>
    <xf numFmtId="0" fontId="48" fillId="17" borderId="38" xfId="0" applyFont="1" applyFill="1" applyBorder="1" applyAlignment="1">
      <alignment horizontal="left"/>
    </xf>
    <xf numFmtId="0" fontId="24" fillId="17" borderId="38" xfId="0" applyFont="1" applyFill="1" applyBorder="1" applyAlignment="1">
      <alignment horizontal="left"/>
    </xf>
    <xf numFmtId="0" fontId="0" fillId="0" borderId="22" xfId="0" applyBorder="1" applyAlignment="1">
      <alignment/>
    </xf>
    <xf numFmtId="11" fontId="0" fillId="0" borderId="38" xfId="0" applyNumberFormat="1" applyFill="1" applyBorder="1" applyAlignment="1">
      <alignment/>
    </xf>
    <xf numFmtId="11" fontId="0" fillId="0" borderId="39" xfId="0" applyNumberFormat="1" applyFill="1" applyBorder="1" applyAlignment="1">
      <alignment/>
    </xf>
    <xf numFmtId="0" fontId="0" fillId="0" borderId="0" xfId="0" applyFill="1" applyBorder="1" applyAlignment="1">
      <alignment horizontal="center"/>
    </xf>
    <xf numFmtId="0" fontId="0" fillId="0" borderId="0" xfId="0" applyFont="1" applyBorder="1" applyAlignment="1">
      <alignment horizontal="center"/>
    </xf>
    <xf numFmtId="0" fontId="24" fillId="8" borderId="40" xfId="0" applyFont="1" applyFill="1" applyBorder="1" applyAlignment="1">
      <alignment horizontal="center"/>
    </xf>
    <xf numFmtId="0" fontId="24" fillId="14" borderId="41" xfId="0" applyFont="1" applyFill="1" applyBorder="1" applyAlignment="1">
      <alignment horizontal="center"/>
    </xf>
    <xf numFmtId="0" fontId="24" fillId="8" borderId="26" xfId="0" applyFont="1" applyFill="1" applyBorder="1" applyAlignment="1">
      <alignment horizontal="center"/>
    </xf>
    <xf numFmtId="0" fontId="24" fillId="14" borderId="26" xfId="0" applyFont="1" applyFill="1" applyBorder="1" applyAlignment="1">
      <alignment horizontal="center"/>
    </xf>
    <xf numFmtId="0" fontId="31" fillId="0" borderId="0" xfId="0" applyFont="1" applyFill="1" applyBorder="1" applyAlignment="1">
      <alignment horizontal="center"/>
    </xf>
    <xf numFmtId="0" fontId="0" fillId="0" borderId="24" xfId="0" applyBorder="1" applyAlignment="1">
      <alignment wrapText="1"/>
    </xf>
    <xf numFmtId="0" fontId="25" fillId="0" borderId="0" xfId="56" applyFont="1" applyFill="1" applyBorder="1" applyAlignment="1" applyProtection="1">
      <alignment horizontal="center" vertical="center"/>
      <protection locked="0"/>
    </xf>
    <xf numFmtId="0" fontId="24" fillId="0" borderId="15" xfId="0" applyFont="1" applyFill="1" applyBorder="1" applyAlignment="1">
      <alignment horizontal="center" wrapText="1"/>
    </xf>
    <xf numFmtId="0" fontId="4" fillId="0" borderId="0" xfId="0" applyFont="1" applyFill="1" applyAlignment="1">
      <alignment/>
    </xf>
    <xf numFmtId="0" fontId="1" fillId="0" borderId="0" xfId="0" applyFont="1" applyFill="1" applyBorder="1" applyAlignment="1">
      <alignment horizontal="center"/>
    </xf>
    <xf numFmtId="0" fontId="24" fillId="17" borderId="0" xfId="0" applyFont="1" applyFill="1" applyBorder="1" applyAlignment="1">
      <alignment horizontal="left"/>
    </xf>
    <xf numFmtId="0" fontId="0" fillId="17" borderId="0" xfId="0" applyFill="1" applyBorder="1" applyAlignment="1">
      <alignment/>
    </xf>
    <xf numFmtId="11" fontId="0" fillId="0" borderId="0" xfId="0" applyNumberFormat="1" applyBorder="1" applyAlignment="1">
      <alignment horizontal="center"/>
    </xf>
    <xf numFmtId="0" fontId="0" fillId="0" borderId="0" xfId="0" applyBorder="1" applyAlignment="1">
      <alignment horizontal="center" wrapText="1"/>
    </xf>
    <xf numFmtId="0" fontId="0" fillId="0" borderId="21" xfId="0" applyBorder="1" applyAlignment="1">
      <alignment horizontal="center" wrapText="1"/>
    </xf>
    <xf numFmtId="0" fontId="0" fillId="0" borderId="0" xfId="0" applyFill="1" applyBorder="1" applyAlignment="1">
      <alignment horizontal="center" wrapText="1"/>
    </xf>
    <xf numFmtId="0" fontId="0" fillId="8" borderId="0" xfId="0" applyFill="1" applyBorder="1" applyAlignment="1">
      <alignment horizontal="center" wrapText="1"/>
    </xf>
    <xf numFmtId="0" fontId="0" fillId="7" borderId="0" xfId="0" applyFill="1" applyBorder="1" applyAlignment="1">
      <alignment horizontal="center" wrapText="1"/>
    </xf>
    <xf numFmtId="0" fontId="0" fillId="8" borderId="0" xfId="0" applyFill="1" applyBorder="1" applyAlignment="1">
      <alignment horizontal="center"/>
    </xf>
    <xf numFmtId="165" fontId="0" fillId="8" borderId="0" xfId="0" applyNumberFormat="1" applyFill="1" applyBorder="1" applyAlignment="1">
      <alignment horizontal="center"/>
    </xf>
    <xf numFmtId="165" fontId="0" fillId="7" borderId="0" xfId="0" applyNumberFormat="1" applyFill="1" applyBorder="1" applyAlignment="1">
      <alignment horizontal="center"/>
    </xf>
    <xf numFmtId="0" fontId="24" fillId="0" borderId="18" xfId="0" applyFont="1" applyBorder="1" applyAlignment="1">
      <alignment horizontal="center"/>
    </xf>
    <xf numFmtId="168" fontId="6" fillId="0" borderId="0" xfId="58" applyNumberFormat="1" applyFont="1" applyBorder="1" applyAlignment="1">
      <alignment horizontal="center"/>
      <protection/>
    </xf>
    <xf numFmtId="168" fontId="6" fillId="0" borderId="0" xfId="56" applyNumberFormat="1" applyFont="1" applyFill="1" applyBorder="1" applyAlignment="1" applyProtection="1">
      <alignment horizontal="center"/>
      <protection locked="0"/>
    </xf>
    <xf numFmtId="168" fontId="9" fillId="0" borderId="0" xfId="56" applyNumberFormat="1" applyFont="1" applyFill="1" applyBorder="1" applyAlignment="1" applyProtection="1">
      <alignment horizontal="center"/>
      <protection locked="0"/>
    </xf>
    <xf numFmtId="11" fontId="6" fillId="0" borderId="0" xfId="56" applyNumberFormat="1" applyFont="1" applyFill="1" applyBorder="1" applyAlignment="1" applyProtection="1">
      <alignment horizontal="left"/>
      <protection locked="0"/>
    </xf>
    <xf numFmtId="0" fontId="1" fillId="0" borderId="0" xfId="0" applyFont="1" applyFill="1" applyBorder="1" applyAlignment="1">
      <alignment horizontal="center" wrapText="1"/>
    </xf>
    <xf numFmtId="11" fontId="9" fillId="0" borderId="0" xfId="56" applyNumberFormat="1" applyFont="1" applyBorder="1" applyAlignment="1" applyProtection="1">
      <alignment horizontal="left" vertical="center"/>
      <protection locked="0"/>
    </xf>
    <xf numFmtId="164" fontId="9" fillId="0" borderId="11" xfId="56" applyNumberFormat="1" applyFont="1" applyBorder="1" applyAlignment="1" applyProtection="1">
      <alignment horizontal="left" vertical="center"/>
      <protection locked="0"/>
    </xf>
    <xf numFmtId="0" fontId="0" fillId="0" borderId="12" xfId="0" applyFill="1" applyBorder="1" applyAlignment="1">
      <alignment horizontal="center" wrapText="1"/>
    </xf>
    <xf numFmtId="0" fontId="0" fillId="0" borderId="13" xfId="0" applyBorder="1" applyAlignment="1">
      <alignment horizontal="center"/>
    </xf>
    <xf numFmtId="0" fontId="0" fillId="0" borderId="15" xfId="0" applyFill="1" applyBorder="1" applyAlignment="1">
      <alignment horizontal="center" wrapText="1"/>
    </xf>
    <xf numFmtId="0" fontId="0" fillId="0" borderId="11" xfId="0" applyBorder="1" applyAlignment="1">
      <alignment horizontal="center"/>
    </xf>
    <xf numFmtId="1" fontId="0" fillId="0" borderId="11" xfId="0" applyNumberFormat="1" applyBorder="1" applyAlignment="1">
      <alignment horizontal="center"/>
    </xf>
    <xf numFmtId="1" fontId="0" fillId="0" borderId="13" xfId="0" applyNumberFormat="1" applyBorder="1" applyAlignment="1">
      <alignment horizontal="center"/>
    </xf>
    <xf numFmtId="0" fontId="0" fillId="17" borderId="0" xfId="0" applyFill="1" applyBorder="1" applyAlignment="1">
      <alignment horizontal="center"/>
    </xf>
    <xf numFmtId="11" fontId="0" fillId="16" borderId="0" xfId="0" applyNumberFormat="1" applyFill="1" applyBorder="1" applyAlignment="1">
      <alignment horizontal="center"/>
    </xf>
    <xf numFmtId="0" fontId="0" fillId="0" borderId="42" xfId="0" applyBorder="1" applyAlignment="1">
      <alignment/>
    </xf>
    <xf numFmtId="0" fontId="1" fillId="0" borderId="43" xfId="0" applyFont="1" applyBorder="1" applyAlignment="1">
      <alignment horizontal="center"/>
    </xf>
    <xf numFmtId="0" fontId="1" fillId="0" borderId="0" xfId="0" applyFont="1" applyAlignment="1">
      <alignment/>
    </xf>
    <xf numFmtId="0" fontId="24" fillId="0" borderId="0" xfId="0" applyFont="1" applyBorder="1" applyAlignment="1">
      <alignment horizontal="left"/>
    </xf>
    <xf numFmtId="0" fontId="25" fillId="0" borderId="21" xfId="56" applyFont="1" applyFill="1" applyBorder="1" applyAlignment="1" applyProtection="1">
      <alignment horizontal="left" vertical="center" wrapText="1"/>
      <protection locked="0"/>
    </xf>
    <xf numFmtId="0" fontId="25" fillId="0" borderId="0" xfId="56" applyFont="1" applyFill="1" applyBorder="1" applyAlignment="1" applyProtection="1">
      <alignment horizontal="center" vertical="center"/>
      <protection locked="0"/>
    </xf>
    <xf numFmtId="0" fontId="25" fillId="0" borderId="38" xfId="56" applyFont="1" applyFill="1" applyBorder="1" applyAlignment="1" applyProtection="1">
      <alignment horizontal="center" vertical="center"/>
      <protection locked="0"/>
    </xf>
    <xf numFmtId="0" fontId="25" fillId="0" borderId="44" xfId="56" applyFont="1" applyFill="1" applyBorder="1" applyAlignment="1" applyProtection="1">
      <alignment horizontal="left" vertical="center" wrapText="1"/>
      <protection locked="0"/>
    </xf>
    <xf numFmtId="0" fontId="51" fillId="17" borderId="0" xfId="0" applyFont="1" applyFill="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4" fillId="0" borderId="0" xfId="0" applyFont="1" applyBorder="1" applyAlignment="1">
      <alignment horizontal="left"/>
    </xf>
    <xf numFmtId="11" fontId="1" fillId="0" borderId="45" xfId="0" applyNumberFormat="1" applyFont="1" applyBorder="1" applyAlignment="1">
      <alignment horizontal="center"/>
    </xf>
    <xf numFmtId="11" fontId="1" fillId="0" borderId="46" xfId="0" applyNumberFormat="1" applyFont="1" applyBorder="1" applyAlignment="1">
      <alignment horizontal="center"/>
    </xf>
    <xf numFmtId="11" fontId="1" fillId="0" borderId="47" xfId="0" applyNumberFormat="1" applyFont="1" applyBorder="1" applyAlignment="1">
      <alignment horizontal="center"/>
    </xf>
    <xf numFmtId="11" fontId="0" fillId="0" borderId="12" xfId="0" applyNumberFormat="1" applyBorder="1" applyAlignment="1">
      <alignment horizontal="center"/>
    </xf>
    <xf numFmtId="11" fontId="0" fillId="0" borderId="13" xfId="0" applyNumberFormat="1" applyBorder="1" applyAlignment="1">
      <alignment horizontal="center"/>
    </xf>
    <xf numFmtId="11" fontId="0" fillId="0" borderId="14" xfId="0" applyNumberFormat="1" applyBorder="1" applyAlignment="1">
      <alignment horizontal="center"/>
    </xf>
    <xf numFmtId="11" fontId="0" fillId="0" borderId="15" xfId="0" applyNumberFormat="1" applyBorder="1" applyAlignment="1">
      <alignment horizontal="center"/>
    </xf>
    <xf numFmtId="11" fontId="0" fillId="0" borderId="11" xfId="0" applyNumberFormat="1" applyBorder="1" applyAlignment="1">
      <alignment horizontal="center"/>
    </xf>
    <xf numFmtId="11" fontId="0" fillId="0" borderId="16" xfId="0" applyNumberFormat="1" applyBorder="1" applyAlignment="1">
      <alignment horizontal="center"/>
    </xf>
    <xf numFmtId="0" fontId="0" fillId="16" borderId="0" xfId="0" applyFill="1" applyBorder="1" applyAlignment="1">
      <alignment/>
    </xf>
    <xf numFmtId="0" fontId="0" fillId="16" borderId="48" xfId="0" applyFill="1" applyBorder="1" applyAlignment="1">
      <alignment/>
    </xf>
    <xf numFmtId="0" fontId="0" fillId="16" borderId="49" xfId="0" applyFill="1" applyBorder="1" applyAlignment="1">
      <alignment/>
    </xf>
    <xf numFmtId="0" fontId="0" fillId="18" borderId="50" xfId="0" applyFill="1" applyBorder="1" applyAlignment="1">
      <alignment horizontal="center"/>
    </xf>
    <xf numFmtId="11" fontId="0" fillId="18" borderId="51" xfId="0" applyNumberFormat="1" applyFill="1" applyBorder="1" applyAlignment="1">
      <alignment horizontal="center"/>
    </xf>
    <xf numFmtId="1" fontId="9" fillId="0" borderId="11" xfId="58" applyNumberFormat="1" applyFont="1" applyFill="1" applyBorder="1" applyAlignment="1">
      <alignment horizontal="center"/>
      <protection/>
    </xf>
    <xf numFmtId="0" fontId="4" fillId="0" borderId="0" xfId="0" applyFont="1" applyAlignment="1">
      <alignment/>
    </xf>
    <xf numFmtId="0" fontId="55" fillId="0" borderId="0" xfId="0" applyFont="1" applyAlignment="1">
      <alignment/>
    </xf>
    <xf numFmtId="0" fontId="55" fillId="17" borderId="0" xfId="0" applyFont="1" applyFill="1" applyAlignment="1">
      <alignment/>
    </xf>
    <xf numFmtId="0" fontId="31" fillId="0" borderId="13" xfId="0" applyFont="1" applyBorder="1" applyAlignment="1">
      <alignment horizontal="center"/>
    </xf>
    <xf numFmtId="0" fontId="0" fillId="17" borderId="0" xfId="0" applyFill="1" applyBorder="1" applyAlignment="1">
      <alignment horizontal="left"/>
    </xf>
    <xf numFmtId="0" fontId="25" fillId="0" borderId="0" xfId="56" applyFont="1" applyBorder="1" applyAlignment="1" applyProtection="1">
      <alignment horizontal="left" vertical="center"/>
      <protection locked="0"/>
    </xf>
    <xf numFmtId="0" fontId="0" fillId="0" borderId="0" xfId="0" applyFill="1" applyBorder="1" applyAlignment="1">
      <alignment/>
    </xf>
    <xf numFmtId="164" fontId="25" fillId="0" borderId="0" xfId="56" applyNumberFormat="1" applyFont="1" applyBorder="1" applyAlignment="1" applyProtection="1">
      <alignment horizontal="center"/>
      <protection locked="0"/>
    </xf>
    <xf numFmtId="2" fontId="25" fillId="18" borderId="0" xfId="56" applyNumberFormat="1" applyFont="1" applyFill="1" applyBorder="1" applyAlignment="1" applyProtection="1">
      <alignment horizontal="center"/>
      <protection locked="0"/>
    </xf>
    <xf numFmtId="0" fontId="0" fillId="0" borderId="0" xfId="0" applyFont="1" applyFill="1" applyBorder="1" applyAlignment="1">
      <alignment horizontal="right"/>
    </xf>
    <xf numFmtId="0" fontId="0" fillId="0" borderId="23" xfId="0" applyFont="1" applyFill="1" applyBorder="1" applyAlignment="1">
      <alignment horizontal="right"/>
    </xf>
    <xf numFmtId="165" fontId="0" fillId="0" borderId="49" xfId="0" applyNumberFormat="1" applyFill="1" applyBorder="1" applyAlignment="1">
      <alignment/>
    </xf>
    <xf numFmtId="165" fontId="0" fillId="0" borderId="23" xfId="0" applyNumberFormat="1" applyBorder="1" applyAlignment="1">
      <alignment/>
    </xf>
    <xf numFmtId="0" fontId="55" fillId="18" borderId="0" xfId="0" applyFont="1" applyFill="1" applyAlignment="1">
      <alignment/>
    </xf>
    <xf numFmtId="0" fontId="55" fillId="16" borderId="0" xfId="0" applyFont="1" applyFill="1" applyAlignment="1">
      <alignment/>
    </xf>
    <xf numFmtId="0" fontId="0" fillId="18" borderId="0" xfId="0" applyFill="1" applyAlignment="1">
      <alignment/>
    </xf>
    <xf numFmtId="0" fontId="0" fillId="16" borderId="0" xfId="0" applyFill="1" applyAlignment="1">
      <alignment/>
    </xf>
    <xf numFmtId="0" fontId="55" fillId="17" borderId="0" xfId="0" applyFont="1" applyFill="1" applyAlignment="1">
      <alignment/>
    </xf>
    <xf numFmtId="0" fontId="30" fillId="18" borderId="13" xfId="0" applyFont="1" applyFill="1" applyBorder="1" applyAlignment="1">
      <alignment horizontal="left"/>
    </xf>
    <xf numFmtId="0" fontId="30" fillId="18" borderId="0" xfId="0" applyFont="1" applyFill="1" applyBorder="1" applyAlignment="1">
      <alignment horizontal="center"/>
    </xf>
    <xf numFmtId="0" fontId="30" fillId="18" borderId="0" xfId="0" applyFont="1" applyFill="1" applyBorder="1" applyAlignment="1">
      <alignment horizontal="left"/>
    </xf>
    <xf numFmtId="0" fontId="31" fillId="0" borderId="0" xfId="0" applyFont="1" applyFill="1" applyAlignment="1">
      <alignment horizontal="right"/>
    </xf>
    <xf numFmtId="165" fontId="30" fillId="0" borderId="0" xfId="0" applyNumberFormat="1" applyFont="1" applyFill="1" applyAlignment="1">
      <alignment/>
    </xf>
    <xf numFmtId="0" fontId="30" fillId="0" borderId="0" xfId="0" applyFont="1" applyFill="1" applyAlignment="1">
      <alignment/>
    </xf>
    <xf numFmtId="0" fontId="55" fillId="0" borderId="0" xfId="0" applyFont="1" applyBorder="1" applyAlignment="1">
      <alignment horizontal="left"/>
    </xf>
    <xf numFmtId="0" fontId="0" fillId="0" borderId="52" xfId="0" applyBorder="1" applyAlignment="1">
      <alignment/>
    </xf>
    <xf numFmtId="0" fontId="0" fillId="0" borderId="10" xfId="0" applyBorder="1" applyAlignment="1">
      <alignment/>
    </xf>
    <xf numFmtId="0" fontId="0" fillId="0" borderId="53" xfId="0" applyBorder="1" applyAlignment="1">
      <alignment/>
    </xf>
    <xf numFmtId="11" fontId="0" fillId="0" borderId="49" xfId="0" applyNumberFormat="1" applyBorder="1" applyAlignment="1">
      <alignment/>
    </xf>
    <xf numFmtId="0" fontId="0" fillId="0" borderId="18" xfId="0" applyBorder="1" applyAlignment="1">
      <alignment horizontal="center"/>
    </xf>
    <xf numFmtId="0" fontId="0" fillId="16" borderId="18" xfId="0" applyFill="1" applyBorder="1" applyAlignment="1">
      <alignment/>
    </xf>
    <xf numFmtId="1" fontId="0" fillId="8" borderId="11" xfId="0" applyNumberFormat="1" applyFill="1" applyBorder="1" applyAlignment="1">
      <alignment/>
    </xf>
    <xf numFmtId="0" fontId="0" fillId="16" borderId="54" xfId="0" applyFill="1" applyBorder="1" applyAlignment="1">
      <alignment/>
    </xf>
    <xf numFmtId="169" fontId="0" fillId="16" borderId="0" xfId="0" applyNumberFormat="1" applyFill="1" applyBorder="1" applyAlignment="1">
      <alignment/>
    </xf>
    <xf numFmtId="2" fontId="0" fillId="16" borderId="0" xfId="0" applyNumberFormat="1" applyFill="1" applyBorder="1" applyAlignment="1">
      <alignment/>
    </xf>
    <xf numFmtId="2" fontId="0" fillId="16" borderId="49" xfId="0" applyNumberFormat="1" applyFill="1" applyBorder="1" applyAlignment="1">
      <alignment/>
    </xf>
    <xf numFmtId="0" fontId="1" fillId="0" borderId="26" xfId="0" applyFont="1" applyBorder="1" applyAlignment="1">
      <alignment horizontal="center"/>
    </xf>
    <xf numFmtId="2" fontId="9" fillId="18" borderId="0" xfId="56" applyNumberFormat="1" applyFont="1" applyFill="1" applyBorder="1" applyAlignment="1" applyProtection="1">
      <alignment horizontal="center" vertical="center"/>
      <protection locked="0"/>
    </xf>
    <xf numFmtId="2" fontId="9" fillId="18" borderId="0" xfId="56" applyNumberFormat="1" applyFont="1" applyFill="1" applyBorder="1" applyAlignment="1" applyProtection="1">
      <alignment horizontal="center"/>
      <protection locked="0"/>
    </xf>
    <xf numFmtId="0" fontId="1" fillId="0" borderId="26" xfId="0" applyFont="1" applyBorder="1" applyAlignment="1">
      <alignment horizontal="center"/>
    </xf>
    <xf numFmtId="0" fontId="39" fillId="0" borderId="29" xfId="0" applyFont="1" applyBorder="1" applyAlignment="1">
      <alignment/>
    </xf>
    <xf numFmtId="2" fontId="57" fillId="0" borderId="0" xfId="56" applyNumberFormat="1" applyFont="1" applyFill="1" applyBorder="1" applyAlignment="1" applyProtection="1">
      <alignment horizontal="center"/>
      <protection locked="0"/>
    </xf>
    <xf numFmtId="167" fontId="30" fillId="18" borderId="0" xfId="0" applyNumberFormat="1" applyFont="1" applyFill="1" applyBorder="1" applyAlignment="1" quotePrefix="1">
      <alignment horizontal="center"/>
    </xf>
    <xf numFmtId="167" fontId="30" fillId="18" borderId="0" xfId="0" applyNumberFormat="1" applyFont="1" applyFill="1" applyBorder="1" applyAlignment="1">
      <alignment horizontal="center"/>
    </xf>
    <xf numFmtId="0" fontId="16" fillId="0" borderId="0" xfId="56" applyFont="1" applyFill="1" applyBorder="1" applyAlignment="1" applyProtection="1">
      <alignment horizontal="left"/>
      <protection locked="0"/>
    </xf>
    <xf numFmtId="0" fontId="16" fillId="0" borderId="0" xfId="56" applyFont="1" applyFill="1" applyBorder="1" applyAlignment="1" applyProtection="1" quotePrefix="1">
      <alignment/>
      <protection locked="0"/>
    </xf>
    <xf numFmtId="2" fontId="38" fillId="0" borderId="0" xfId="56" applyNumberFormat="1" applyFont="1" applyFill="1" applyBorder="1" applyAlignment="1" applyProtection="1">
      <alignment horizontal="left"/>
      <protection locked="0"/>
    </xf>
    <xf numFmtId="2" fontId="57" fillId="0" borderId="0" xfId="56" applyNumberFormat="1" applyFont="1" applyFill="1" applyBorder="1" applyAlignment="1" applyProtection="1">
      <alignment horizontal="left"/>
      <protection locked="0"/>
    </xf>
    <xf numFmtId="164" fontId="9" fillId="0" borderId="55" xfId="56" applyNumberFormat="1" applyFont="1" applyBorder="1" applyAlignment="1" applyProtection="1">
      <alignment horizontal="left"/>
      <protection locked="0"/>
    </xf>
    <xf numFmtId="2" fontId="9" fillId="0" borderId="56" xfId="56" applyNumberFormat="1" applyFont="1" applyFill="1" applyBorder="1" applyAlignment="1" applyProtection="1">
      <alignment horizontal="center"/>
      <protection locked="0"/>
    </xf>
    <xf numFmtId="164" fontId="6" fillId="0" borderId="55" xfId="56" applyNumberFormat="1" applyFont="1" applyBorder="1" applyAlignment="1" applyProtection="1">
      <alignment horizontal="left"/>
      <protection locked="0"/>
    </xf>
    <xf numFmtId="0" fontId="6" fillId="0" borderId="57" xfId="56" applyFont="1" applyBorder="1" applyAlignment="1" applyProtection="1">
      <alignment horizontal="center"/>
      <protection locked="0"/>
    </xf>
    <xf numFmtId="2" fontId="6" fillId="0" borderId="57" xfId="56" applyNumberFormat="1" applyFont="1" applyBorder="1" applyAlignment="1" applyProtection="1">
      <alignment horizontal="center"/>
      <protection locked="0"/>
    </xf>
    <xf numFmtId="2" fontId="6" fillId="0" borderId="57" xfId="55" applyNumberFormat="1" applyFont="1" applyBorder="1" applyAlignment="1" applyProtection="1">
      <alignment horizontal="center" vertical="center" wrapText="1"/>
      <protection locked="0"/>
    </xf>
    <xf numFmtId="0" fontId="6" fillId="0" borderId="58" xfId="56" applyFont="1" applyBorder="1" applyAlignment="1" applyProtection="1">
      <alignment horizontal="centerContinuous"/>
      <protection locked="0"/>
    </xf>
    <xf numFmtId="2" fontId="6" fillId="0" borderId="59" xfId="56" applyNumberFormat="1" applyFont="1" applyBorder="1" applyAlignment="1" applyProtection="1">
      <alignment horizontal="centerContinuous"/>
      <protection locked="0"/>
    </xf>
    <xf numFmtId="2" fontId="6" fillId="0" borderId="60" xfId="55" applyNumberFormat="1" applyFont="1" applyBorder="1" applyAlignment="1" applyProtection="1">
      <alignment horizontal="centerContinuous" vertical="center" wrapText="1"/>
      <protection locked="0"/>
    </xf>
    <xf numFmtId="0" fontId="9" fillId="0" borderId="57" xfId="56" applyFont="1" applyBorder="1" applyAlignment="1" applyProtection="1">
      <alignment horizontal="left"/>
      <protection locked="0"/>
    </xf>
    <xf numFmtId="2" fontId="9" fillId="0" borderId="57" xfId="56" applyNumberFormat="1" applyFont="1" applyBorder="1" applyAlignment="1" applyProtection="1">
      <alignment horizontal="center"/>
      <protection locked="0"/>
    </xf>
    <xf numFmtId="0" fontId="9" fillId="0" borderId="57" xfId="56" applyFont="1" applyBorder="1" applyAlignment="1" applyProtection="1" quotePrefix="1">
      <alignment horizontal="center" vertical="center"/>
      <protection locked="0"/>
    </xf>
    <xf numFmtId="0" fontId="14" fillId="0" borderId="57" xfId="0" applyFont="1" applyBorder="1" applyAlignment="1">
      <alignment horizontal="center"/>
    </xf>
    <xf numFmtId="0" fontId="9" fillId="0" borderId="57" xfId="56" applyFont="1" applyBorder="1" applyAlignment="1" applyProtection="1">
      <alignment horizontal="center"/>
      <protection locked="0"/>
    </xf>
    <xf numFmtId="2" fontId="9" fillId="18" borderId="57" xfId="56" applyNumberFormat="1" applyFont="1" applyFill="1" applyBorder="1" applyAlignment="1" applyProtection="1">
      <alignment horizontal="center" vertical="center"/>
      <protection locked="0"/>
    </xf>
    <xf numFmtId="0" fontId="9" fillId="0" borderId="57" xfId="56" applyFont="1" applyBorder="1" applyAlignment="1" applyProtection="1">
      <alignment horizontal="center" vertical="center"/>
      <protection locked="0"/>
    </xf>
    <xf numFmtId="2" fontId="9" fillId="0" borderId="57" xfId="58" applyNumberFormat="1" applyFont="1" applyFill="1" applyBorder="1" applyAlignment="1">
      <alignment horizontal="center"/>
      <protection/>
    </xf>
    <xf numFmtId="164" fontId="6" fillId="0" borderId="57" xfId="56" applyNumberFormat="1" applyFont="1" applyBorder="1" applyAlignment="1" applyProtection="1">
      <alignment horizontal="left"/>
      <protection locked="0"/>
    </xf>
    <xf numFmtId="164" fontId="6" fillId="0" borderId="57" xfId="56" applyNumberFormat="1" applyFont="1" applyBorder="1" applyAlignment="1" applyProtection="1">
      <alignment horizontal="center"/>
      <protection locked="0"/>
    </xf>
    <xf numFmtId="2" fontId="6" fillId="0" borderId="57" xfId="56" applyNumberFormat="1" applyFont="1" applyFill="1" applyBorder="1" applyAlignment="1" applyProtection="1">
      <alignment horizontal="center"/>
      <protection locked="0"/>
    </xf>
    <xf numFmtId="0" fontId="9" fillId="0" borderId="57" xfId="56" applyFont="1" applyBorder="1" applyAlignment="1" applyProtection="1">
      <alignment horizontal="left" vertical="center"/>
      <protection locked="0"/>
    </xf>
    <xf numFmtId="164" fontId="9" fillId="0" borderId="57" xfId="56" applyNumberFormat="1" applyFont="1" applyBorder="1" applyAlignment="1" applyProtection="1">
      <alignment horizontal="center"/>
      <protection locked="0"/>
    </xf>
    <xf numFmtId="164" fontId="9" fillId="0" borderId="57" xfId="56" applyNumberFormat="1" applyFont="1" applyBorder="1" applyAlignment="1" applyProtection="1" quotePrefix="1">
      <alignment horizontal="center"/>
      <protection locked="0"/>
    </xf>
    <xf numFmtId="2" fontId="9" fillId="0" borderId="57" xfId="56" applyNumberFormat="1" applyFont="1" applyFill="1" applyBorder="1" applyAlignment="1" applyProtection="1">
      <alignment horizontal="center"/>
      <protection locked="0"/>
    </xf>
    <xf numFmtId="0" fontId="6" fillId="6" borderId="57" xfId="56" applyFont="1" applyFill="1" applyBorder="1" applyAlignment="1" applyProtection="1">
      <alignment horizontal="left" vertical="center"/>
      <protection locked="0"/>
    </xf>
    <xf numFmtId="0" fontId="6" fillId="6" borderId="57" xfId="56" applyFont="1" applyFill="1" applyBorder="1" applyAlignment="1" applyProtection="1">
      <alignment horizontal="center" vertical="center"/>
      <protection locked="0"/>
    </xf>
    <xf numFmtId="11" fontId="6" fillId="6" borderId="57" xfId="56" applyNumberFormat="1" applyFont="1" applyFill="1" applyBorder="1" applyAlignment="1" applyProtection="1">
      <alignment horizontal="center" vertical="center"/>
      <protection locked="0"/>
    </xf>
    <xf numFmtId="0" fontId="16" fillId="0" borderId="0" xfId="56" applyFont="1" applyFill="1" applyBorder="1" applyAlignment="1" applyProtection="1">
      <alignment horizontal="left"/>
      <protection locked="0"/>
    </xf>
    <xf numFmtId="0" fontId="51" fillId="0" borderId="61" xfId="0" applyFont="1" applyBorder="1" applyAlignment="1">
      <alignment horizontal="center"/>
    </xf>
    <xf numFmtId="0" fontId="51" fillId="0" borderId="0" xfId="0" applyFont="1" applyBorder="1" applyAlignment="1">
      <alignment horizontal="center"/>
    </xf>
    <xf numFmtId="0" fontId="51" fillId="0" borderId="0" xfId="0" applyFont="1" applyBorder="1" applyAlignment="1">
      <alignment horizontal="center"/>
    </xf>
    <xf numFmtId="2" fontId="0" fillId="0" borderId="0" xfId="0" applyNumberFormat="1" applyBorder="1" applyAlignment="1">
      <alignment/>
    </xf>
    <xf numFmtId="0" fontId="16" fillId="0" borderId="0" xfId="59" applyFont="1" applyFill="1" applyBorder="1" quotePrefix="1">
      <alignment/>
      <protection/>
    </xf>
    <xf numFmtId="0" fontId="6" fillId="17" borderId="52" xfId="56" applyFont="1" applyFill="1" applyBorder="1" applyAlignment="1" applyProtection="1">
      <alignment horizontal="centerContinuous"/>
      <protection locked="0"/>
    </xf>
    <xf numFmtId="2" fontId="6" fillId="17" borderId="53" xfId="55" applyNumberFormat="1" applyFont="1" applyFill="1" applyBorder="1" applyAlignment="1" applyProtection="1">
      <alignment horizontal="centerContinuous" vertical="center" wrapText="1"/>
      <protection locked="0"/>
    </xf>
    <xf numFmtId="0" fontId="6" fillId="0" borderId="55" xfId="56" applyFont="1" applyBorder="1" applyAlignment="1" applyProtection="1">
      <alignment horizontal="left"/>
      <protection locked="0"/>
    </xf>
    <xf numFmtId="11" fontId="6" fillId="0" borderId="56" xfId="56" applyNumberFormat="1" applyFont="1" applyFill="1" applyBorder="1" applyAlignment="1" applyProtection="1">
      <alignment horizontal="center"/>
      <protection locked="0"/>
    </xf>
    <xf numFmtId="0" fontId="6" fillId="17" borderId="52" xfId="56" applyFont="1" applyFill="1" applyBorder="1" applyAlignment="1" applyProtection="1">
      <alignment horizontal="centerContinuous" vertical="center"/>
      <protection locked="0"/>
    </xf>
    <xf numFmtId="164" fontId="9" fillId="0" borderId="55" xfId="56" applyNumberFormat="1" applyFont="1" applyBorder="1" applyAlignment="1" applyProtection="1">
      <alignment horizontal="left" vertical="center"/>
      <protection locked="0"/>
    </xf>
    <xf numFmtId="2" fontId="9" fillId="0" borderId="56" xfId="56" applyNumberFormat="1" applyFont="1" applyFill="1" applyBorder="1" applyAlignment="1" applyProtection="1">
      <alignment horizontal="center" vertical="center"/>
      <protection locked="0"/>
    </xf>
    <xf numFmtId="0" fontId="9" fillId="0" borderId="55" xfId="56" applyFont="1" applyBorder="1" applyAlignment="1" applyProtection="1">
      <alignment vertical="center"/>
      <protection locked="0"/>
    </xf>
    <xf numFmtId="2" fontId="9" fillId="0" borderId="56" xfId="56" applyNumberFormat="1" applyFont="1" applyBorder="1" applyAlignment="1" applyProtection="1">
      <alignment horizontal="center" vertical="center"/>
      <protection locked="0"/>
    </xf>
    <xf numFmtId="0" fontId="6" fillId="0" borderId="57" xfId="56" applyFont="1" applyBorder="1" applyAlignment="1" applyProtection="1">
      <alignment horizontal="left"/>
      <protection locked="0"/>
    </xf>
    <xf numFmtId="168" fontId="6" fillId="0" borderId="57" xfId="58" applyNumberFormat="1" applyFont="1" applyBorder="1" applyAlignment="1">
      <alignment horizontal="center"/>
      <protection/>
    </xf>
    <xf numFmtId="167" fontId="9" fillId="0" borderId="57" xfId="58" applyNumberFormat="1" applyFont="1" applyFill="1" applyBorder="1" applyAlignment="1">
      <alignment horizontal="center"/>
      <protection/>
    </xf>
    <xf numFmtId="0" fontId="9" fillId="0" borderId="57" xfId="56" applyFont="1" applyBorder="1" applyAlignment="1" applyProtection="1">
      <alignment horizontal="left"/>
      <protection locked="0"/>
    </xf>
    <xf numFmtId="2" fontId="9" fillId="0" borderId="57" xfId="56" applyNumberFormat="1" applyFont="1" applyBorder="1" applyAlignment="1" applyProtection="1">
      <alignment horizontal="center"/>
      <protection locked="0"/>
    </xf>
    <xf numFmtId="0" fontId="9" fillId="0" borderId="57" xfId="56" applyFont="1" applyBorder="1" applyAlignment="1" applyProtection="1">
      <alignment horizontal="center" vertical="center"/>
      <protection locked="0"/>
    </xf>
    <xf numFmtId="1" fontId="9" fillId="0" borderId="57" xfId="58" applyNumberFormat="1" applyFont="1" applyFill="1" applyBorder="1" applyAlignment="1">
      <alignment horizontal="center"/>
      <protection/>
    </xf>
    <xf numFmtId="164" fontId="9" fillId="0" borderId="57" xfId="56" applyNumberFormat="1" applyFont="1" applyBorder="1" applyAlignment="1" applyProtection="1">
      <alignment horizontal="left"/>
      <protection locked="0"/>
    </xf>
    <xf numFmtId="164" fontId="12" fillId="0" borderId="57" xfId="56" applyNumberFormat="1" applyFont="1" applyBorder="1" applyAlignment="1" applyProtection="1">
      <alignment horizontal="center"/>
      <protection locked="0"/>
    </xf>
    <xf numFmtId="2" fontId="9" fillId="18" borderId="57" xfId="56" applyNumberFormat="1" applyFont="1" applyFill="1" applyBorder="1" applyAlignment="1" applyProtection="1">
      <alignment horizontal="center"/>
      <protection locked="0"/>
    </xf>
    <xf numFmtId="0" fontId="9" fillId="0" borderId="57" xfId="56" applyFont="1" applyBorder="1" applyAlignment="1" applyProtection="1">
      <alignment horizontal="left" vertical="center"/>
      <protection locked="0"/>
    </xf>
    <xf numFmtId="164" fontId="9" fillId="0" borderId="57" xfId="56" applyNumberFormat="1" applyFont="1" applyBorder="1" applyAlignment="1" applyProtection="1">
      <alignment horizontal="center"/>
      <protection locked="0"/>
    </xf>
    <xf numFmtId="164" fontId="9" fillId="0" borderId="57" xfId="56" applyNumberFormat="1" applyFont="1" applyBorder="1" applyAlignment="1" applyProtection="1" quotePrefix="1">
      <alignment horizontal="center"/>
      <protection locked="0"/>
    </xf>
    <xf numFmtId="2" fontId="9" fillId="0" borderId="57" xfId="56" applyNumberFormat="1" applyFont="1" applyFill="1" applyBorder="1" applyAlignment="1" applyProtection="1">
      <alignment horizontal="center"/>
      <protection locked="0"/>
    </xf>
    <xf numFmtId="0" fontId="14" fillId="0" borderId="57" xfId="55" applyFont="1" applyFill="1" applyBorder="1" applyAlignment="1" applyProtection="1">
      <alignment horizontal="center"/>
      <protection/>
    </xf>
    <xf numFmtId="164" fontId="9" fillId="0" borderId="57" xfId="56" applyNumberFormat="1" applyFont="1" applyBorder="1" applyAlignment="1" applyProtection="1">
      <alignment horizontal="left"/>
      <protection locked="0"/>
    </xf>
    <xf numFmtId="2" fontId="6" fillId="0" borderId="57" xfId="56" applyNumberFormat="1" applyFont="1" applyBorder="1" applyAlignment="1" applyProtection="1">
      <alignment horizontal="center"/>
      <protection locked="0"/>
    </xf>
    <xf numFmtId="11" fontId="6" fillId="0" borderId="57" xfId="56" applyNumberFormat="1" applyFont="1" applyFill="1" applyBorder="1" applyAlignment="1" applyProtection="1">
      <alignment horizontal="center"/>
      <protection locked="0"/>
    </xf>
    <xf numFmtId="11" fontId="9" fillId="0" borderId="57" xfId="56" applyNumberFormat="1" applyFont="1" applyFill="1" applyBorder="1" applyAlignment="1" applyProtection="1">
      <alignment horizontal="center"/>
      <protection locked="0"/>
    </xf>
    <xf numFmtId="0" fontId="6" fillId="0" borderId="57" xfId="56" applyFont="1" applyBorder="1" applyAlignment="1" applyProtection="1">
      <alignment horizontal="left" vertical="center"/>
      <protection locked="0"/>
    </xf>
    <xf numFmtId="167" fontId="6" fillId="0" borderId="57" xfId="56" applyNumberFormat="1" applyFont="1" applyFill="1" applyBorder="1" applyAlignment="1" applyProtection="1">
      <alignment horizontal="center"/>
      <protection locked="0"/>
    </xf>
    <xf numFmtId="0" fontId="6" fillId="0" borderId="62" xfId="56" applyFont="1" applyBorder="1" applyAlignment="1" applyProtection="1">
      <alignment horizontal="left"/>
      <protection locked="0"/>
    </xf>
    <xf numFmtId="2" fontId="6" fillId="0" borderId="62" xfId="56" applyNumberFormat="1" applyFont="1" applyBorder="1" applyAlignment="1" applyProtection="1">
      <alignment horizontal="center"/>
      <protection locked="0"/>
    </xf>
    <xf numFmtId="11" fontId="6" fillId="0" borderId="62" xfId="56" applyNumberFormat="1" applyFont="1" applyFill="1" applyBorder="1" applyAlignment="1" applyProtection="1">
      <alignment horizontal="center"/>
      <protection locked="0"/>
    </xf>
    <xf numFmtId="164" fontId="9" fillId="0" borderId="63" xfId="56" applyNumberFormat="1" applyFont="1" applyBorder="1" applyAlignment="1" applyProtection="1">
      <alignment horizontal="left"/>
      <protection locked="0"/>
    </xf>
    <xf numFmtId="164" fontId="9" fillId="0" borderId="63" xfId="56" applyNumberFormat="1" applyFont="1" applyBorder="1" applyAlignment="1" applyProtection="1">
      <alignment horizontal="center"/>
      <protection locked="0"/>
    </xf>
    <xf numFmtId="1" fontId="9" fillId="0" borderId="63" xfId="56" applyNumberFormat="1" applyFont="1" applyFill="1" applyBorder="1" applyAlignment="1" applyProtection="1">
      <alignment horizontal="center"/>
      <protection locked="0"/>
    </xf>
    <xf numFmtId="164" fontId="9" fillId="0" borderId="57" xfId="56" applyNumberFormat="1" applyFont="1" applyBorder="1" applyAlignment="1" applyProtection="1">
      <alignment horizontal="left" vertical="center"/>
      <protection locked="0"/>
    </xf>
    <xf numFmtId="164" fontId="9" fillId="0" borderId="57" xfId="56" applyNumberFormat="1" applyFont="1" applyBorder="1" applyAlignment="1" applyProtection="1">
      <alignment horizontal="center" vertical="center"/>
      <protection locked="0"/>
    </xf>
    <xf numFmtId="2" fontId="9" fillId="0" borderId="57" xfId="56" applyNumberFormat="1" applyFont="1" applyFill="1" applyBorder="1" applyAlignment="1" applyProtection="1">
      <alignment horizontal="center" vertical="center"/>
      <protection locked="0"/>
    </xf>
    <xf numFmtId="0" fontId="14" fillId="0" borderId="57" xfId="55" applyFont="1" applyFill="1" applyBorder="1" applyAlignment="1" applyProtection="1">
      <alignment horizontal="center" vertical="center"/>
      <protection/>
    </xf>
    <xf numFmtId="0" fontId="9" fillId="0" borderId="57" xfId="56" applyFont="1" applyBorder="1" applyAlignment="1" applyProtection="1">
      <alignment vertical="center"/>
      <protection locked="0"/>
    </xf>
    <xf numFmtId="164" fontId="6" fillId="0" borderId="57" xfId="56" applyNumberFormat="1" applyFont="1" applyBorder="1" applyAlignment="1" applyProtection="1">
      <alignment horizontal="left" vertical="center"/>
      <protection locked="0"/>
    </xf>
    <xf numFmtId="0" fontId="6" fillId="0" borderId="62" xfId="56" applyFont="1" applyBorder="1" applyAlignment="1" applyProtection="1">
      <alignment horizontal="left" vertical="center"/>
      <protection locked="0"/>
    </xf>
    <xf numFmtId="2" fontId="6" fillId="0" borderId="62" xfId="56" applyNumberFormat="1" applyFont="1" applyBorder="1" applyAlignment="1" applyProtection="1">
      <alignment horizontal="center" vertical="center"/>
      <protection locked="0"/>
    </xf>
    <xf numFmtId="11" fontId="6" fillId="0" borderId="62" xfId="56" applyNumberFormat="1" applyFont="1" applyBorder="1" applyAlignment="1" applyProtection="1">
      <alignment horizontal="center" vertical="center"/>
      <protection locked="0"/>
    </xf>
    <xf numFmtId="0" fontId="9" fillId="0" borderId="63" xfId="56" applyFont="1" applyBorder="1" applyAlignment="1" applyProtection="1">
      <alignment horizontal="left" vertical="center"/>
      <protection locked="0"/>
    </xf>
    <xf numFmtId="164" fontId="9" fillId="0" borderId="63" xfId="56" applyNumberFormat="1" applyFont="1" applyBorder="1" applyAlignment="1" applyProtection="1">
      <alignment horizontal="center" vertical="center"/>
      <protection locked="0"/>
    </xf>
    <xf numFmtId="2" fontId="9" fillId="0" borderId="63" xfId="56" applyNumberFormat="1" applyFont="1" applyFill="1" applyBorder="1" applyAlignment="1" applyProtection="1">
      <alignment horizontal="center" vertical="center"/>
      <protection locked="0"/>
    </xf>
    <xf numFmtId="0" fontId="14" fillId="0" borderId="0" xfId="0" applyFont="1" applyAlignment="1">
      <alignment/>
    </xf>
    <xf numFmtId="0" fontId="74" fillId="17" borderId="0" xfId="0" applyFont="1" applyFill="1" applyBorder="1" applyAlignment="1">
      <alignment/>
    </xf>
    <xf numFmtId="0" fontId="74" fillId="0" borderId="0" xfId="0" applyFont="1" applyBorder="1" applyAlignment="1">
      <alignment horizontal="left"/>
    </xf>
    <xf numFmtId="0" fontId="74" fillId="0" borderId="0" xfId="0" applyFont="1" applyFill="1" applyBorder="1" applyAlignment="1">
      <alignment/>
    </xf>
    <xf numFmtId="0" fontId="14" fillId="0" borderId="0" xfId="0" applyFont="1" applyBorder="1" applyAlignment="1">
      <alignment/>
    </xf>
    <xf numFmtId="0" fontId="14" fillId="0" borderId="0" xfId="0" applyFont="1" applyFill="1" applyBorder="1" applyAlignment="1">
      <alignment wrapText="1"/>
    </xf>
    <xf numFmtId="0" fontId="14" fillId="0" borderId="0" xfId="0" applyFont="1" applyFill="1" applyBorder="1" applyAlignment="1">
      <alignment/>
    </xf>
    <xf numFmtId="11" fontId="14" fillId="0" borderId="0" xfId="0" applyNumberFormat="1" applyFont="1" applyAlignment="1">
      <alignment/>
    </xf>
    <xf numFmtId="0" fontId="14" fillId="0" borderId="50" xfId="0" applyFont="1" applyBorder="1" applyAlignment="1">
      <alignment/>
    </xf>
    <xf numFmtId="0" fontId="73" fillId="0" borderId="51" xfId="0" applyFont="1" applyBorder="1" applyAlignment="1">
      <alignment horizontal="center"/>
    </xf>
    <xf numFmtId="0" fontId="74" fillId="0" borderId="51" xfId="0" applyFont="1" applyBorder="1" applyAlignment="1">
      <alignment horizontal="center"/>
    </xf>
    <xf numFmtId="0" fontId="14" fillId="0" borderId="57" xfId="0" applyFont="1" applyBorder="1" applyAlignment="1">
      <alignment horizontal="center"/>
    </xf>
    <xf numFmtId="0" fontId="14" fillId="0" borderId="57" xfId="0" applyFont="1" applyBorder="1" applyAlignment="1">
      <alignment horizontal="center"/>
    </xf>
    <xf numFmtId="0" fontId="74" fillId="0" borderId="57" xfId="0" applyFont="1" applyBorder="1" applyAlignment="1">
      <alignment horizontal="center"/>
    </xf>
    <xf numFmtId="0" fontId="14" fillId="0" borderId="57" xfId="0" applyFont="1" applyBorder="1" applyAlignment="1">
      <alignment horizontal="center"/>
    </xf>
    <xf numFmtId="11" fontId="14" fillId="0" borderId="57" xfId="0" applyNumberFormat="1" applyFont="1" applyBorder="1" applyAlignment="1">
      <alignment horizontal="center"/>
    </xf>
    <xf numFmtId="11" fontId="14" fillId="0" borderId="57" xfId="0" applyNumberFormat="1" applyFont="1" applyBorder="1" applyAlignment="1">
      <alignment horizontal="center"/>
    </xf>
    <xf numFmtId="0" fontId="14" fillId="0" borderId="57" xfId="0" applyFont="1" applyBorder="1" applyAlignment="1">
      <alignment/>
    </xf>
    <xf numFmtId="0" fontId="14" fillId="0" borderId="57" xfId="0" applyFont="1" applyBorder="1" applyAlignment="1">
      <alignment horizontal="center" wrapText="1"/>
    </xf>
    <xf numFmtId="0" fontId="14" fillId="0" borderId="57" xfId="0" applyFont="1" applyFill="1" applyBorder="1" applyAlignment="1">
      <alignment horizontal="center"/>
    </xf>
    <xf numFmtId="11" fontId="14" fillId="0" borderId="57" xfId="0" applyNumberFormat="1" applyFont="1" applyFill="1" applyBorder="1" applyAlignment="1">
      <alignment horizontal="center"/>
    </xf>
    <xf numFmtId="11" fontId="14" fillId="0" borderId="57" xfId="0" applyNumberFormat="1" applyFont="1" applyFill="1" applyBorder="1" applyAlignment="1">
      <alignment horizontal="center"/>
    </xf>
    <xf numFmtId="0" fontId="14" fillId="0" borderId="57" xfId="0" applyFont="1" applyFill="1" applyBorder="1" applyAlignment="1">
      <alignment horizontal="center" wrapText="1"/>
    </xf>
    <xf numFmtId="0" fontId="14" fillId="0" borderId="57" xfId="0" applyFont="1" applyFill="1" applyBorder="1" applyAlignment="1">
      <alignment horizontal="center"/>
    </xf>
    <xf numFmtId="0" fontId="73" fillId="0" borderId="57" xfId="0" applyFont="1" applyBorder="1" applyAlignment="1">
      <alignment horizontal="center" wrapText="1"/>
    </xf>
    <xf numFmtId="0" fontId="73" fillId="0" borderId="57" xfId="0" applyFont="1" applyFill="1" applyBorder="1" applyAlignment="1">
      <alignment horizontal="center" wrapText="1"/>
    </xf>
    <xf numFmtId="0" fontId="73" fillId="0" borderId="57" xfId="0" applyFont="1" applyFill="1" applyBorder="1" applyAlignment="1">
      <alignment horizontal="center" wrapText="1"/>
    </xf>
    <xf numFmtId="174" fontId="14" fillId="0" borderId="57" xfId="0" applyNumberFormat="1" applyFont="1" applyBorder="1" applyAlignment="1">
      <alignment horizontal="center"/>
    </xf>
    <xf numFmtId="0" fontId="24" fillId="0" borderId="64" xfId="0" applyFont="1" applyBorder="1" applyAlignment="1">
      <alignment horizontal="center" wrapText="1"/>
    </xf>
    <xf numFmtId="0" fontId="24" fillId="0" borderId="65" xfId="0" applyFont="1" applyFill="1" applyBorder="1" applyAlignment="1">
      <alignment horizontal="center" wrapText="1"/>
    </xf>
    <xf numFmtId="0" fontId="24" fillId="0" borderId="51" xfId="0" applyFont="1" applyFill="1" applyBorder="1" applyAlignment="1">
      <alignment horizontal="center" wrapText="1"/>
    </xf>
    <xf numFmtId="0" fontId="1" fillId="0" borderId="28" xfId="0" applyFont="1" applyBorder="1" applyAlignment="1">
      <alignment horizontal="center" wrapText="1"/>
    </xf>
    <xf numFmtId="0" fontId="0" fillId="0" borderId="29" xfId="0" applyFont="1" applyBorder="1" applyAlignment="1">
      <alignment horizontal="left" wrapText="1"/>
    </xf>
    <xf numFmtId="0" fontId="0" fillId="0" borderId="0" xfId="0" applyFont="1" applyBorder="1" applyAlignment="1">
      <alignment horizontal="left" wrapText="1"/>
    </xf>
    <xf numFmtId="0" fontId="0" fillId="0" borderId="30" xfId="0" applyFont="1" applyBorder="1" applyAlignment="1">
      <alignment horizontal="left" wrapText="1"/>
    </xf>
    <xf numFmtId="0" fontId="2" fillId="0" borderId="31" xfId="0" applyFont="1" applyBorder="1" applyAlignment="1">
      <alignment wrapText="1"/>
    </xf>
    <xf numFmtId="0" fontId="0" fillId="0" borderId="32" xfId="0" applyBorder="1" applyAlignment="1">
      <alignment/>
    </xf>
    <xf numFmtId="0" fontId="0" fillId="0" borderId="35" xfId="0" applyBorder="1" applyAlignment="1">
      <alignment/>
    </xf>
    <xf numFmtId="0" fontId="49" fillId="0" borderId="0" xfId="0" applyFont="1" applyBorder="1" applyAlignment="1">
      <alignment horizontal="left" wrapText="1"/>
    </xf>
    <xf numFmtId="0" fontId="24" fillId="6" borderId="19" xfId="0" applyFont="1" applyFill="1" applyBorder="1" applyAlignment="1">
      <alignment horizontal="center"/>
    </xf>
    <xf numFmtId="0" fontId="0" fillId="0" borderId="22" xfId="0" applyBorder="1" applyAlignment="1">
      <alignment horizontal="center"/>
    </xf>
    <xf numFmtId="0" fontId="0" fillId="0" borderId="66" xfId="0" applyBorder="1" applyAlignment="1">
      <alignment horizontal="center"/>
    </xf>
    <xf numFmtId="0" fontId="1" fillId="6" borderId="67" xfId="0" applyFont="1" applyFill="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53" fillId="0" borderId="44" xfId="0" applyFont="1" applyBorder="1" applyAlignment="1">
      <alignment horizontal="left" wrapText="1"/>
    </xf>
    <xf numFmtId="0" fontId="53" fillId="0" borderId="38" xfId="0" applyFont="1" applyBorder="1" applyAlignment="1">
      <alignment horizontal="left" wrapText="1"/>
    </xf>
    <xf numFmtId="0" fontId="53" fillId="0" borderId="39" xfId="0" applyFont="1" applyBorder="1" applyAlignment="1">
      <alignment horizontal="left" wrapText="1"/>
    </xf>
    <xf numFmtId="0" fontId="1" fillId="0" borderId="69"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26" xfId="0" applyFont="1" applyBorder="1" applyAlignment="1">
      <alignment horizontal="center"/>
    </xf>
    <xf numFmtId="0" fontId="74" fillId="8" borderId="72" xfId="0" applyFont="1" applyFill="1" applyBorder="1" applyAlignment="1">
      <alignment horizontal="center"/>
    </xf>
    <xf numFmtId="0" fontId="74" fillId="8" borderId="10" xfId="0" applyFont="1" applyFill="1" applyBorder="1" applyAlignment="1">
      <alignment horizontal="center"/>
    </xf>
    <xf numFmtId="0" fontId="14" fillId="0" borderId="10" xfId="0" applyFont="1" applyBorder="1" applyAlignment="1">
      <alignment/>
    </xf>
    <xf numFmtId="0" fontId="14" fillId="0" borderId="53" xfId="0" applyFont="1" applyBorder="1" applyAlignment="1">
      <alignment/>
    </xf>
    <xf numFmtId="0" fontId="74" fillId="14" borderId="52" xfId="0" applyFont="1" applyFill="1" applyBorder="1" applyAlignment="1">
      <alignment horizontal="center"/>
    </xf>
    <xf numFmtId="0" fontId="50" fillId="8" borderId="11" xfId="0" applyFont="1" applyFill="1" applyBorder="1" applyAlignment="1">
      <alignment horizontal="center"/>
    </xf>
    <xf numFmtId="0" fontId="50" fillId="8" borderId="16" xfId="0" applyFont="1" applyFill="1" applyBorder="1" applyAlignment="1">
      <alignment horizontal="center"/>
    </xf>
    <xf numFmtId="0" fontId="24" fillId="14" borderId="15" xfId="0" applyFont="1" applyFill="1" applyBorder="1" applyAlignment="1">
      <alignment horizontal="center"/>
    </xf>
    <xf numFmtId="0" fontId="24" fillId="14" borderId="11" xfId="0" applyFont="1" applyFill="1" applyBorder="1" applyAlignment="1">
      <alignment horizontal="center"/>
    </xf>
    <xf numFmtId="0" fontId="24" fillId="14" borderId="73" xfId="0" applyFont="1" applyFill="1" applyBorder="1" applyAlignment="1">
      <alignment horizontal="center"/>
    </xf>
    <xf numFmtId="0" fontId="4" fillId="0" borderId="74" xfId="0" applyFont="1" applyBorder="1" applyAlignment="1">
      <alignment horizontal="center" wrapText="1"/>
    </xf>
    <xf numFmtId="0" fontId="4" fillId="0" borderId="74" xfId="0" applyFont="1" applyBorder="1" applyAlignment="1">
      <alignment horizontal="center" wrapText="1"/>
    </xf>
    <xf numFmtId="0" fontId="4" fillId="0" borderId="75" xfId="0" applyFont="1" applyBorder="1" applyAlignment="1">
      <alignment horizontal="center" wrapText="1"/>
    </xf>
    <xf numFmtId="0" fontId="78" fillId="0" borderId="0" xfId="0" applyFont="1" applyFill="1" applyBorder="1" applyAlignment="1">
      <alignment horizontal="left" wrapText="1"/>
    </xf>
    <xf numFmtId="0" fontId="51" fillId="0" borderId="76" xfId="0" applyFont="1" applyBorder="1" applyAlignment="1">
      <alignment horizontal="center"/>
    </xf>
    <xf numFmtId="0" fontId="51" fillId="0" borderId="77" xfId="0" applyFont="1" applyBorder="1" applyAlignment="1">
      <alignment horizontal="center"/>
    </xf>
    <xf numFmtId="0" fontId="51" fillId="0" borderId="11" xfId="0" applyFont="1" applyBorder="1" applyAlignment="1">
      <alignment horizontal="center"/>
    </xf>
    <xf numFmtId="0" fontId="73" fillId="0" borderId="0" xfId="0" applyFont="1" applyBorder="1" applyAlignment="1">
      <alignment horizontal="center"/>
    </xf>
    <xf numFmtId="0" fontId="4"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wherd Dust Model" xfId="55"/>
    <cellStyle name="Normal_KARIMI" xfId="56"/>
    <cellStyle name="Normal_NAPA_AR2" xfId="57"/>
    <cellStyle name="Normal_Off-site resid-curr-det-B1R1" xfId="58"/>
    <cellStyle name="Normal_Resident parameters (Table 3-4)" xfId="59"/>
    <cellStyle name="Note" xfId="60"/>
    <cellStyle name="Output" xfId="61"/>
    <cellStyle name="Percent" xfId="62"/>
    <cellStyle name="Title" xfId="63"/>
    <cellStyle name="Total" xfId="64"/>
    <cellStyle name="Warning Text" xfId="65"/>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P75"/>
  <sheetViews>
    <sheetView tabSelected="1" zoomScalePageLayoutView="85" workbookViewId="0" topLeftCell="A1">
      <selection activeCell="A5" sqref="A5"/>
    </sheetView>
  </sheetViews>
  <sheetFormatPr defaultColWidth="11.421875" defaultRowHeight="15"/>
  <cols>
    <col min="1" max="1" width="43.7109375" style="0" customWidth="1"/>
    <col min="2" max="2" width="8.00390625" style="0" customWidth="1"/>
    <col min="3" max="3" width="11.7109375" style="0" customWidth="1"/>
    <col min="4" max="4" width="12.7109375" style="0" hidden="1" customWidth="1"/>
    <col min="5" max="7" width="9.7109375" style="0" customWidth="1"/>
    <col min="8" max="8" width="11.7109375" style="0" customWidth="1"/>
    <col min="9" max="9" width="12.7109375" style="0" hidden="1" customWidth="1"/>
    <col min="10" max="12" width="9.7109375" style="0" customWidth="1"/>
    <col min="13" max="13" width="11.7109375" style="0" customWidth="1"/>
    <col min="14" max="14" width="36.00390625" style="0" bestFit="1" customWidth="1"/>
  </cols>
  <sheetData>
    <row r="1" ht="21">
      <c r="A1" s="227" t="s">
        <v>373</v>
      </c>
    </row>
    <row r="2" ht="21">
      <c r="A2" s="227" t="s">
        <v>365</v>
      </c>
    </row>
    <row r="3" ht="21">
      <c r="A3" s="227" t="s">
        <v>369</v>
      </c>
    </row>
    <row r="4" ht="21">
      <c r="A4" s="227" t="s">
        <v>370</v>
      </c>
    </row>
    <row r="5" ht="21">
      <c r="A5" s="227"/>
    </row>
    <row r="7" spans="1:10" ht="21">
      <c r="A7" s="239" t="s">
        <v>320</v>
      </c>
      <c r="B7" s="241"/>
      <c r="C7" s="241"/>
      <c r="D7" s="241"/>
      <c r="E7" s="241"/>
      <c r="F7" s="241"/>
      <c r="G7" s="241"/>
      <c r="H7" s="241"/>
      <c r="I7" s="241"/>
      <c r="J7" s="241"/>
    </row>
    <row r="8" spans="1:10" ht="21">
      <c r="A8" s="240" t="s">
        <v>372</v>
      </c>
      <c r="B8" s="242"/>
      <c r="C8" s="242"/>
      <c r="D8" s="242"/>
      <c r="E8" s="242"/>
      <c r="F8" s="242"/>
      <c r="G8" s="242"/>
      <c r="H8" s="242"/>
      <c r="I8" s="242"/>
      <c r="J8" s="242"/>
    </row>
    <row r="9" ht="21">
      <c r="A9" s="227" t="s">
        <v>321</v>
      </c>
    </row>
    <row r="10" spans="1:10" ht="21">
      <c r="A10" s="243" t="s">
        <v>371</v>
      </c>
      <c r="B10" s="150"/>
      <c r="C10" s="150"/>
      <c r="D10" s="150"/>
      <c r="E10" s="150"/>
      <c r="F10" s="150"/>
      <c r="G10" s="150"/>
      <c r="H10" s="150"/>
      <c r="I10" s="150"/>
      <c r="J10" s="150"/>
    </row>
    <row r="11" ht="14.25">
      <c r="B11" s="128">
        <v>1E-06</v>
      </c>
    </row>
    <row r="13" spans="1:12" ht="14.25">
      <c r="A13" s="355"/>
      <c r="B13" s="355"/>
      <c r="C13" s="355"/>
      <c r="D13" s="355"/>
      <c r="E13" s="355"/>
      <c r="F13" s="355"/>
      <c r="G13" s="355"/>
      <c r="H13" s="355"/>
      <c r="I13" s="355"/>
      <c r="J13" s="355"/>
      <c r="K13" s="355"/>
      <c r="L13" s="355"/>
    </row>
    <row r="14" spans="1:13" ht="18">
      <c r="A14" s="356" t="s">
        <v>326</v>
      </c>
      <c r="B14" s="357" t="s">
        <v>447</v>
      </c>
      <c r="C14" s="358"/>
      <c r="D14" s="358"/>
      <c r="E14" s="358"/>
      <c r="F14" s="358"/>
      <c r="G14" s="358"/>
      <c r="H14" s="358"/>
      <c r="I14" s="358"/>
      <c r="J14" s="358"/>
      <c r="K14" s="358"/>
      <c r="L14" s="358"/>
      <c r="M14" s="145"/>
    </row>
    <row r="15" spans="1:12" ht="14.25">
      <c r="A15" s="363"/>
      <c r="B15" s="363"/>
      <c r="C15" s="407" t="s">
        <v>148</v>
      </c>
      <c r="D15" s="408"/>
      <c r="E15" s="408"/>
      <c r="F15" s="409"/>
      <c r="G15" s="410"/>
      <c r="H15" s="411" t="s">
        <v>149</v>
      </c>
      <c r="I15" s="409"/>
      <c r="J15" s="409"/>
      <c r="K15" s="409"/>
      <c r="L15" s="410"/>
    </row>
    <row r="16" spans="1:12" ht="27">
      <c r="A16" s="365" t="s">
        <v>287</v>
      </c>
      <c r="B16" s="364" t="s">
        <v>36</v>
      </c>
      <c r="C16" s="379" t="s">
        <v>154</v>
      </c>
      <c r="D16" s="379" t="s">
        <v>155</v>
      </c>
      <c r="E16" s="379" t="s">
        <v>51</v>
      </c>
      <c r="F16" s="379" t="s">
        <v>52</v>
      </c>
      <c r="G16" s="380" t="s">
        <v>337</v>
      </c>
      <c r="H16" s="379" t="s">
        <v>154</v>
      </c>
      <c r="I16" s="379" t="s">
        <v>155</v>
      </c>
      <c r="J16" s="379" t="s">
        <v>51</v>
      </c>
      <c r="K16" s="379" t="s">
        <v>52</v>
      </c>
      <c r="L16" s="381" t="s">
        <v>337</v>
      </c>
    </row>
    <row r="17" spans="1:12" ht="14.25">
      <c r="A17" s="366" t="s">
        <v>139</v>
      </c>
      <c r="B17" s="367" t="s">
        <v>256</v>
      </c>
      <c r="C17" s="382">
        <f>($C$50*$B$41*C$60*C$61*(C$63+(C$62*C$64)))/(C$66*C$68)</f>
        <v>2.0093474149878757E-09</v>
      </c>
      <c r="D17" s="382">
        <f>($C$50*$B$41*D$60*D$61*(D$63+(D$62*D$64)))/(D$66*D$68)</f>
        <v>9.76551784909158E-10</v>
      </c>
      <c r="E17" s="382">
        <f>($C$50*$B$41*E$60*E$61*(E$63+(E$62*E$64)))/(E$66*E$68)</f>
        <v>5.433327505639349E-10</v>
      </c>
      <c r="F17" s="382">
        <f>($C$50*$B$41*F$60*F$61*(F$63+(F$62*F$64)))/(F$66*F$68)</f>
        <v>2.4148122247285994E-10</v>
      </c>
      <c r="G17" s="382">
        <f>($C$50*$B$41*G$60*G$61*(G$63+(G$62*G$64)))/(G$66*G$68)</f>
        <v>1.1850426759574193E-09</v>
      </c>
      <c r="H17" s="382">
        <f>($D$50*$C$41*C$60*C$61*(C$63+(C$62*C$64)))/(C$66*C$68)</f>
        <v>0</v>
      </c>
      <c r="I17" s="382">
        <f>($D$50*$C$41*D$60*D$61*(D$63+(D$62*D$64)))/(D$66*D$68)</f>
        <v>0</v>
      </c>
      <c r="J17" s="382">
        <f>($D$50*$C$41*E$60*E$61*(E$63+(E$62*E$64)))/(E$66*E$68)</f>
        <v>0</v>
      </c>
      <c r="K17" s="382">
        <f>($D$50*$C$41*F$60*F$61*(F$63+(F$62*F$64)))/(F$66*F$68)</f>
        <v>0</v>
      </c>
      <c r="L17" s="382">
        <f>($D$50*$C$41*G$60*G$61*(G$63+(G$62*G$64)))/(G$66*G$68)</f>
        <v>0</v>
      </c>
    </row>
    <row r="18" spans="1:12" ht="14.25">
      <c r="A18" s="366" t="s">
        <v>140</v>
      </c>
      <c r="B18" s="367" t="s">
        <v>256</v>
      </c>
      <c r="C18" s="382">
        <f>($C$52*$B$41*C$60*C$61*(C$63+(C$62*C$64)))/(C$66*C$68)</f>
        <v>9.532071907289477E-09</v>
      </c>
      <c r="D18" s="382">
        <f>($C$52*$B$41*D$60*D$61*(D$63+(D$62*D$64)))/(D$66*D$68)</f>
        <v>4.632629362902955E-09</v>
      </c>
      <c r="E18" s="382">
        <f>($C$52*$B$41*E$60*E$61*(E$63+(E$62*E$64)))/(E$66*E$68)</f>
        <v>2.577496957136233E-09</v>
      </c>
      <c r="F18" s="382">
        <f>($C$52*$B$41*F$60*F$61*(F$63+(F$62*F$64)))/(F$66*F$68)</f>
        <v>1.1455542031716592E-09</v>
      </c>
      <c r="G18" s="382">
        <f>($C$52*$B$41*G$60*G$61*(G$63+(G$62*G$64)))/(G$66*G$68)</f>
        <v>5.621681903376088E-09</v>
      </c>
      <c r="H18" s="382">
        <f>($D$52*$C$41*C$60*C$61*(C$63+(C$62*C$64)))/(C$66*C$68)</f>
        <v>6.68263424195803E-07</v>
      </c>
      <c r="I18" s="382">
        <f>($D$52*$C$41*D$60*D$61*(D$63+(D$62*D$64)))/(D$66*D$68)</f>
        <v>3.2477899780802966E-07</v>
      </c>
      <c r="J18" s="382">
        <f>($D$52*$C$41*E$60*E$61*(E$63+(E$62*E$64)))/(E$66*E$68)</f>
        <v>1.8070016248124524E-07</v>
      </c>
      <c r="K18" s="382">
        <f>($D$52*$C$41*F$60*F$61*(F$63+(F$62*F$64)))/(F$66*F$68)</f>
        <v>8.03111833249979E-08</v>
      </c>
      <c r="L18" s="382">
        <f>($D$52*$C$41*G$60*G$61*(G$63+(G$62*G$64)))/(G$66*G$68)</f>
        <v>3.94118344367164E-07</v>
      </c>
    </row>
    <row r="19" spans="1:12" ht="14.25">
      <c r="A19" s="368" t="s">
        <v>137</v>
      </c>
      <c r="B19" s="369"/>
      <c r="C19" s="370"/>
      <c r="D19" s="370"/>
      <c r="E19" s="370"/>
      <c r="F19" s="370"/>
      <c r="G19" s="370"/>
      <c r="H19" s="371"/>
      <c r="I19" s="370"/>
      <c r="J19" s="370"/>
      <c r="K19" s="370"/>
      <c r="L19" s="372"/>
    </row>
    <row r="20" spans="1:12" s="89" customFormat="1" ht="31.5">
      <c r="A20" s="373" t="s">
        <v>448</v>
      </c>
      <c r="B20" s="374" t="s">
        <v>449</v>
      </c>
      <c r="C20" s="375">
        <f>($C$50/C$68)*1000000</f>
        <v>10.820779248726282</v>
      </c>
      <c r="D20" s="375">
        <f>($C$50/D$68)*1000000</f>
        <v>0.11540370562543348</v>
      </c>
      <c r="E20" s="375">
        <f>($C$50/E$68)*1000000</f>
        <v>0.13004296726393352</v>
      </c>
      <c r="F20" s="375">
        <f>($C$50/F$68)*1000000</f>
        <v>0.13004296726393352</v>
      </c>
      <c r="G20" s="376">
        <f>($C$50/G$68)*1000000</f>
        <v>0.14004205229371183</v>
      </c>
      <c r="H20" s="375">
        <f>($D$50/C$68)*1000000</f>
        <v>0</v>
      </c>
      <c r="I20" s="375">
        <f>($D$50/D$68)*1000000</f>
        <v>0</v>
      </c>
      <c r="J20" s="375">
        <f>($D$50/E$68)*1000000</f>
        <v>0</v>
      </c>
      <c r="K20" s="375">
        <f>($D$50/F$68)*1000000</f>
        <v>0</v>
      </c>
      <c r="L20" s="376">
        <f>($D$50/G$68)*1000000</f>
        <v>0</v>
      </c>
    </row>
    <row r="21" spans="1:12" ht="15.75">
      <c r="A21" s="377" t="s">
        <v>450</v>
      </c>
      <c r="B21" s="378" t="s">
        <v>449</v>
      </c>
      <c r="C21" s="376">
        <f>($C$52/C$68)*1000000</f>
        <v>51.33231074049337</v>
      </c>
      <c r="D21" s="376">
        <f>($C$52/D$68)*1000000</f>
        <v>0.5474595444192694</v>
      </c>
      <c r="E21" s="376">
        <f>($C$52/E$68)*1000000</f>
        <v>0.6169062182831062</v>
      </c>
      <c r="F21" s="376">
        <f>($C$52/F$68)*1000000</f>
        <v>0.6169062182831062</v>
      </c>
      <c r="G21" s="376">
        <f>($C$52/G$68)*1000000</f>
        <v>0.6643405229732805</v>
      </c>
      <c r="H21" s="376">
        <f>($D$52/C$68)*1000000</f>
        <v>32.41615762086403</v>
      </c>
      <c r="I21" s="376">
        <f>($D$52/D$68)*1000000</f>
        <v>0.3457186054346495</v>
      </c>
      <c r="J21" s="376">
        <f>($D$52/E$68)*1000000</f>
        <v>0.3895739139867156</v>
      </c>
      <c r="K21" s="376">
        <f>($D$52/F$68)*1000000</f>
        <v>0.3895739139867156</v>
      </c>
      <c r="L21" s="376">
        <f>($D$52/G$68)*1000000</f>
        <v>0.41952849571685025</v>
      </c>
    </row>
    <row r="22" spans="1:12" ht="16.5">
      <c r="A22" s="420" t="s">
        <v>451</v>
      </c>
      <c r="B22" s="420"/>
      <c r="C22" s="420"/>
      <c r="D22" s="420"/>
      <c r="E22" s="359"/>
      <c r="F22" s="355"/>
      <c r="G22" s="355"/>
      <c r="H22" s="355"/>
      <c r="I22" s="355"/>
      <c r="J22" s="355"/>
      <c r="K22" s="355"/>
      <c r="L22" s="355"/>
    </row>
    <row r="23" spans="1:12" ht="18" customHeight="1">
      <c r="A23" s="420" t="s">
        <v>452</v>
      </c>
      <c r="B23" s="420"/>
      <c r="C23" s="420"/>
      <c r="D23" s="420"/>
      <c r="E23" s="355"/>
      <c r="F23" s="355"/>
      <c r="G23" s="355"/>
      <c r="H23" s="355"/>
      <c r="I23" s="355"/>
      <c r="J23" s="355"/>
      <c r="K23" s="355"/>
      <c r="L23" s="355"/>
    </row>
    <row r="24" spans="1:12" ht="14.25">
      <c r="A24" s="360"/>
      <c r="B24" s="361"/>
      <c r="C24" s="362"/>
      <c r="D24" s="355"/>
      <c r="E24" s="355"/>
      <c r="F24" s="355"/>
      <c r="G24" s="355"/>
      <c r="H24" s="355"/>
      <c r="I24" s="355"/>
      <c r="J24" s="355"/>
      <c r="K24" s="355"/>
      <c r="L24" s="355"/>
    </row>
    <row r="25" spans="2:7" ht="14.25">
      <c r="B25" s="90"/>
      <c r="C25" s="90"/>
      <c r="D25" s="90"/>
      <c r="E25" s="90"/>
      <c r="F25" s="90"/>
      <c r="G25" s="90"/>
    </row>
    <row r="26" spans="1:7" ht="21" thickBot="1">
      <c r="A26" s="148" t="s">
        <v>288</v>
      </c>
      <c r="B26" s="149"/>
      <c r="C26" s="149"/>
      <c r="D26" s="90"/>
      <c r="E26" s="90"/>
      <c r="F26" s="90"/>
      <c r="G26" s="90"/>
    </row>
    <row r="27" spans="1:13" ht="30" customHeight="1" thickTop="1">
      <c r="A27" s="133"/>
      <c r="B27" s="386" t="s">
        <v>260</v>
      </c>
      <c r="C27" s="386"/>
      <c r="D27" s="131"/>
      <c r="E27" s="417" t="s">
        <v>5</v>
      </c>
      <c r="F27" s="418"/>
      <c r="G27" s="418"/>
      <c r="H27" s="418"/>
      <c r="I27" s="418"/>
      <c r="J27" s="418"/>
      <c r="K27" s="418"/>
      <c r="L27" s="418"/>
      <c r="M27" s="419"/>
    </row>
    <row r="28" spans="1:13" ht="15" thickBot="1">
      <c r="A28" s="146" t="s">
        <v>150</v>
      </c>
      <c r="B28" s="160" t="s">
        <v>148</v>
      </c>
      <c r="C28" s="161" t="s">
        <v>149</v>
      </c>
      <c r="D28" s="86"/>
      <c r="E28" s="86"/>
      <c r="F28" s="412" t="s">
        <v>148</v>
      </c>
      <c r="G28" s="412"/>
      <c r="H28" s="412"/>
      <c r="I28" s="413"/>
      <c r="J28" s="414" t="s">
        <v>149</v>
      </c>
      <c r="K28" s="415"/>
      <c r="L28" s="415"/>
      <c r="M28" s="416"/>
    </row>
    <row r="29" spans="1:13" ht="18.75" thickBot="1" thickTop="1">
      <c r="A29" s="266" t="s">
        <v>388</v>
      </c>
      <c r="B29" s="87">
        <f>0.5*((0.786*($F$31+$G$31))+(0.214*($H$31+$I$31)))</f>
        <v>0.48575599999999997</v>
      </c>
      <c r="C29" s="87">
        <f>0.5*((0.786*($J$31+$K$31))+(0.214*($L$31+$M$31)))</f>
        <v>0.692828</v>
      </c>
      <c r="D29" s="86"/>
      <c r="E29" s="86"/>
      <c r="F29" s="406" t="s">
        <v>144</v>
      </c>
      <c r="G29" s="404"/>
      <c r="H29" s="403" t="s">
        <v>145</v>
      </c>
      <c r="I29" s="404"/>
      <c r="J29" s="403" t="s">
        <v>144</v>
      </c>
      <c r="K29" s="404"/>
      <c r="L29" s="403" t="s">
        <v>145</v>
      </c>
      <c r="M29" s="405"/>
    </row>
    <row r="30" spans="1:13" ht="18" thickTop="1">
      <c r="A30" s="266" t="s">
        <v>389</v>
      </c>
      <c r="B30" s="87">
        <f>0.5*((0.786*($F$32+$G$32))+(0.214*($H$32+$I$32)))</f>
        <v>0.08325160000000001</v>
      </c>
      <c r="C30" s="87">
        <f>0.5*((0.786*($J$32+$K$32))+(0.214*($L$32+$M$32)))</f>
        <v>62.5566</v>
      </c>
      <c r="D30" s="86"/>
      <c r="E30" s="93" t="s">
        <v>141</v>
      </c>
      <c r="F30" s="84" t="s">
        <v>142</v>
      </c>
      <c r="G30" s="84" t="s">
        <v>143</v>
      </c>
      <c r="H30" s="83" t="s">
        <v>142</v>
      </c>
      <c r="I30" s="94" t="s">
        <v>143</v>
      </c>
      <c r="J30" s="83" t="s">
        <v>142</v>
      </c>
      <c r="K30" s="84" t="s">
        <v>143</v>
      </c>
      <c r="L30" s="83" t="s">
        <v>142</v>
      </c>
      <c r="M30" s="135" t="s">
        <v>143</v>
      </c>
    </row>
    <row r="31" spans="1:13" ht="18">
      <c r="A31" s="266" t="s">
        <v>390</v>
      </c>
      <c r="B31" s="87">
        <f>0.5*((0.786*($F$33+$G$33))+(0.214*($H$33+$I$33)))</f>
        <v>0.569336</v>
      </c>
      <c r="C31" s="87">
        <f>0.5*((0.786*($J$33+$K$33))+(0.214*($L$33+$M$33)))</f>
        <v>63.206</v>
      </c>
      <c r="D31" s="86"/>
      <c r="E31" s="86" t="s">
        <v>146</v>
      </c>
      <c r="F31" s="86">
        <v>0.185</v>
      </c>
      <c r="G31" s="86">
        <v>0.207</v>
      </c>
      <c r="H31" s="85">
        <v>1.6</v>
      </c>
      <c r="I31" s="95">
        <v>1.5</v>
      </c>
      <c r="J31" s="85">
        <v>0.2</v>
      </c>
      <c r="K31" s="86">
        <v>0.286</v>
      </c>
      <c r="L31" s="85">
        <v>2.22</v>
      </c>
      <c r="M31" s="136">
        <v>2.47</v>
      </c>
    </row>
    <row r="32" spans="1:13" ht="14.25">
      <c r="A32" s="134"/>
      <c r="B32" s="86"/>
      <c r="C32" s="86"/>
      <c r="D32" s="86"/>
      <c r="E32" s="86" t="s">
        <v>147</v>
      </c>
      <c r="F32" s="86">
        <v>0.0836</v>
      </c>
      <c r="G32" s="86">
        <v>0.096</v>
      </c>
      <c r="H32" s="85">
        <v>0.0482</v>
      </c>
      <c r="I32" s="95">
        <v>0.0702</v>
      </c>
      <c r="J32" s="85">
        <v>62.7</v>
      </c>
      <c r="K32" s="86">
        <v>72.3</v>
      </c>
      <c r="L32" s="85">
        <v>36.1</v>
      </c>
      <c r="M32" s="136">
        <v>52.7</v>
      </c>
    </row>
    <row r="33" spans="1:13" ht="15" thickBot="1">
      <c r="A33" s="137"/>
      <c r="B33" s="138"/>
      <c r="C33" s="138"/>
      <c r="D33" s="138"/>
      <c r="E33" s="138" t="s">
        <v>227</v>
      </c>
      <c r="F33" s="138">
        <v>0.269</v>
      </c>
      <c r="G33" s="138">
        <v>0.303</v>
      </c>
      <c r="H33" s="139">
        <v>1.65</v>
      </c>
      <c r="I33" s="140">
        <v>1.57</v>
      </c>
      <c r="J33" s="139">
        <v>62.9</v>
      </c>
      <c r="K33" s="138">
        <v>72.5</v>
      </c>
      <c r="L33" s="139">
        <v>38.3</v>
      </c>
      <c r="M33" s="141">
        <v>55.1</v>
      </c>
    </row>
    <row r="34" spans="1:15" ht="15" thickTop="1">
      <c r="A34" s="86"/>
      <c r="B34" s="86"/>
      <c r="C34" s="86"/>
      <c r="D34" s="86"/>
      <c r="E34" s="86"/>
      <c r="F34" s="86"/>
      <c r="G34" s="86"/>
      <c r="H34" s="86"/>
      <c r="I34" s="86"/>
      <c r="J34" s="86"/>
      <c r="K34" s="86"/>
      <c r="L34" s="86"/>
      <c r="M34" s="86"/>
      <c r="N34" s="86"/>
      <c r="O34" s="86"/>
    </row>
    <row r="35" spans="1:15" ht="14.25">
      <c r="A35" s="86"/>
      <c r="B35" s="86"/>
      <c r="C35" s="86"/>
      <c r="D35" s="86"/>
      <c r="E35" s="86"/>
      <c r="F35" s="86"/>
      <c r="G35" s="86"/>
      <c r="H35" s="86"/>
      <c r="I35" s="86"/>
      <c r="J35" s="86"/>
      <c r="K35" s="86"/>
      <c r="L35" s="86"/>
      <c r="M35" s="86"/>
      <c r="N35" s="86"/>
      <c r="O35" s="86"/>
    </row>
    <row r="36" spans="1:4" ht="21" thickBot="1">
      <c r="A36" s="148" t="s">
        <v>289</v>
      </c>
      <c r="B36" s="150"/>
      <c r="C36" s="150"/>
      <c r="D36" s="150"/>
    </row>
    <row r="37" spans="1:8" ht="34.5" customHeight="1" thickBot="1" thickTop="1">
      <c r="A37" s="130"/>
      <c r="B37" s="386" t="s">
        <v>260</v>
      </c>
      <c r="C37" s="386"/>
      <c r="D37" s="131"/>
      <c r="E37" s="131"/>
      <c r="F37" s="131"/>
      <c r="G37" s="131"/>
      <c r="H37" s="195"/>
    </row>
    <row r="38" spans="1:8" ht="16.5" thickBot="1">
      <c r="A38" s="147" t="s">
        <v>261</v>
      </c>
      <c r="B38" s="160" t="s">
        <v>148</v>
      </c>
      <c r="C38" s="161" t="s">
        <v>53</v>
      </c>
      <c r="D38" s="132" t="s">
        <v>36</v>
      </c>
      <c r="E38" s="394" t="s">
        <v>377</v>
      </c>
      <c r="F38" s="395"/>
      <c r="G38" s="395"/>
      <c r="H38" s="396"/>
    </row>
    <row r="39" spans="1:9" ht="45" thickTop="1">
      <c r="A39" s="266" t="s">
        <v>391</v>
      </c>
      <c r="B39" s="87">
        <f aca="true" t="shared" si="0" ref="B39:C41">(1/10)*B29</f>
        <v>0.0485756</v>
      </c>
      <c r="C39" s="87">
        <f t="shared" si="0"/>
        <v>0.0692828</v>
      </c>
      <c r="D39" s="156" t="s">
        <v>50</v>
      </c>
      <c r="E39" s="384" t="s">
        <v>154</v>
      </c>
      <c r="F39" s="385" t="s">
        <v>155</v>
      </c>
      <c r="G39" s="165" t="s">
        <v>156</v>
      </c>
      <c r="H39" s="383" t="s">
        <v>337</v>
      </c>
      <c r="I39" s="86"/>
    </row>
    <row r="40" spans="1:9" ht="18" thickBot="1">
      <c r="A40" s="266" t="s">
        <v>392</v>
      </c>
      <c r="B40" s="87">
        <f t="shared" si="0"/>
        <v>0.008325160000000002</v>
      </c>
      <c r="C40" s="87">
        <f t="shared" si="0"/>
        <v>6.255660000000001</v>
      </c>
      <c r="D40" s="156" t="s">
        <v>50</v>
      </c>
      <c r="E40" s="211">
        <f>(C60*C61*C65)/(C66)</f>
        <v>0.0032615786040443573</v>
      </c>
      <c r="F40" s="212">
        <f>(D60*D61*D65)/(D66)</f>
        <v>0.14863013698630137</v>
      </c>
      <c r="G40" s="212">
        <f>(F60*F61*F65)/(F66)</f>
        <v>0.03261578604044357</v>
      </c>
      <c r="H40" s="213">
        <f>(G60*G61*G65)/(G66)</f>
        <v>0.14863013698630137</v>
      </c>
      <c r="I40" s="86"/>
    </row>
    <row r="41" spans="1:8" ht="18">
      <c r="A41" s="266" t="s">
        <v>393</v>
      </c>
      <c r="B41" s="87">
        <f t="shared" si="0"/>
        <v>0.0569336</v>
      </c>
      <c r="C41" s="87">
        <f t="shared" si="0"/>
        <v>6.320600000000001</v>
      </c>
      <c r="D41" s="156" t="s">
        <v>50</v>
      </c>
      <c r="E41" s="86"/>
      <c r="F41" s="86"/>
      <c r="G41" s="86"/>
      <c r="H41" s="136"/>
    </row>
    <row r="42" spans="1:8" ht="60.75" customHeight="1">
      <c r="A42" s="387" t="s">
        <v>378</v>
      </c>
      <c r="B42" s="388"/>
      <c r="C42" s="388"/>
      <c r="D42" s="388"/>
      <c r="E42" s="388"/>
      <c r="F42" s="388"/>
      <c r="G42" s="388"/>
      <c r="H42" s="389"/>
    </row>
    <row r="43" spans="1:8" ht="33.75" customHeight="1" thickBot="1">
      <c r="A43" s="390" t="s">
        <v>374</v>
      </c>
      <c r="B43" s="391"/>
      <c r="C43" s="391"/>
      <c r="D43" s="391"/>
      <c r="E43" s="391"/>
      <c r="F43" s="391"/>
      <c r="G43" s="391"/>
      <c r="H43" s="392"/>
    </row>
    <row r="44" spans="2:7" ht="15" thickTop="1">
      <c r="B44" s="87"/>
      <c r="C44" s="87"/>
      <c r="D44" s="86"/>
      <c r="E44" s="86"/>
      <c r="F44" s="86"/>
      <c r="G44" s="86"/>
    </row>
    <row r="45" spans="1:7" ht="15" thickBot="1">
      <c r="A45" s="86"/>
      <c r="B45" s="87"/>
      <c r="C45" s="87"/>
      <c r="G45" s="86"/>
    </row>
    <row r="46" spans="1:7" ht="15" thickBot="1">
      <c r="A46" s="92"/>
      <c r="B46" s="107"/>
      <c r="C46" s="158" t="s">
        <v>148</v>
      </c>
      <c r="D46" s="159" t="s">
        <v>149</v>
      </c>
      <c r="G46" s="86"/>
    </row>
    <row r="47" spans="1:8" s="99" customFormat="1" ht="16.5" thickBot="1" thickTop="1">
      <c r="A47" s="109" t="s">
        <v>255</v>
      </c>
      <c r="B47" s="91" t="s">
        <v>36</v>
      </c>
      <c r="C47" s="91" t="s">
        <v>259</v>
      </c>
      <c r="D47" s="110" t="s">
        <v>259</v>
      </c>
      <c r="E47" s="104"/>
      <c r="F47" s="104"/>
      <c r="G47" s="104"/>
      <c r="H47" s="104"/>
    </row>
    <row r="48" spans="1:8" ht="16.5" thickTop="1">
      <c r="A48" s="97" t="s">
        <v>262</v>
      </c>
      <c r="B48" s="104" t="s">
        <v>19</v>
      </c>
      <c r="C48" s="237">
        <f>'Data and Analytical Sensitivity'!I2</f>
        <v>0.12392767502281174</v>
      </c>
      <c r="D48" s="237">
        <f>'Data and Analytical Sensitivity'!I2</f>
        <v>0.12392767502281174</v>
      </c>
      <c r="E48" s="210" t="s">
        <v>323</v>
      </c>
      <c r="F48" s="86"/>
      <c r="G48" s="86"/>
      <c r="H48" s="86"/>
    </row>
    <row r="49" spans="1:8" ht="14.25">
      <c r="A49" s="96" t="s">
        <v>263</v>
      </c>
      <c r="B49" s="104" t="s">
        <v>160</v>
      </c>
      <c r="C49" s="235">
        <f>'Data and Analytical Sensitivity'!I6</f>
        <v>1</v>
      </c>
      <c r="D49" s="236">
        <f>'Data and Analytical Sensitivity'!I7</f>
        <v>0</v>
      </c>
      <c r="E49" s="210" t="s">
        <v>322</v>
      </c>
      <c r="F49" s="86"/>
      <c r="G49" s="86"/>
      <c r="H49" s="86"/>
    </row>
    <row r="50" spans="1:7" ht="16.5">
      <c r="A50" s="97" t="s">
        <v>22</v>
      </c>
      <c r="B50" s="104" t="s">
        <v>19</v>
      </c>
      <c r="C50" s="100">
        <f>C48*C49</f>
        <v>0.12392767502281174</v>
      </c>
      <c r="D50" s="108">
        <f>D48*D49</f>
        <v>0</v>
      </c>
      <c r="E50" s="13"/>
      <c r="F50" s="14"/>
      <c r="G50" s="14"/>
    </row>
    <row r="51" spans="1:8" ht="14.25">
      <c r="A51" s="97" t="s">
        <v>257</v>
      </c>
      <c r="B51" s="102" t="s">
        <v>258</v>
      </c>
      <c r="C51" s="100">
        <f>CHIINV(0.05,(C49+1)*2)/2</f>
        <v>4.7438645184944255</v>
      </c>
      <c r="D51" s="108">
        <f>CHIINV(0.05,(D49+1)*2)/2</f>
        <v>2.995732273595707</v>
      </c>
      <c r="E51" s="105"/>
      <c r="F51" s="86"/>
      <c r="G51" s="86"/>
      <c r="H51" s="86"/>
    </row>
    <row r="52" spans="1:8" ht="16.5">
      <c r="A52" s="97" t="s">
        <v>23</v>
      </c>
      <c r="B52" s="104" t="s">
        <v>19</v>
      </c>
      <c r="C52" s="87">
        <f>C48*C51</f>
        <v>0.5878961004002244</v>
      </c>
      <c r="D52" s="238">
        <f>D48*D51</f>
        <v>0.3712541356575177</v>
      </c>
      <c r="E52" s="86"/>
      <c r="F52" s="86"/>
      <c r="G52" s="86"/>
      <c r="H52" s="86"/>
    </row>
    <row r="53" spans="1:8" ht="15" thickBot="1">
      <c r="A53" s="400" t="s">
        <v>81</v>
      </c>
      <c r="B53" s="401"/>
      <c r="C53" s="401"/>
      <c r="D53" s="402"/>
      <c r="E53" s="106"/>
      <c r="F53" s="106"/>
      <c r="G53" s="106"/>
      <c r="H53" s="106"/>
    </row>
    <row r="54" spans="1:8" ht="14.25">
      <c r="A54" s="101"/>
      <c r="B54" s="101"/>
      <c r="C54" s="101"/>
      <c r="D54" s="101"/>
      <c r="E54" s="101"/>
      <c r="F54" s="101"/>
      <c r="G54" s="101"/>
      <c r="H54" s="101"/>
    </row>
    <row r="55" spans="1:8" ht="14.25">
      <c r="A55" s="101"/>
      <c r="B55" s="101"/>
      <c r="C55" s="101"/>
      <c r="D55" s="101"/>
      <c r="E55" s="101"/>
      <c r="F55" s="101"/>
      <c r="G55" s="101"/>
      <c r="H55" s="101"/>
    </row>
    <row r="56" spans="1:4" ht="30.75" customHeight="1" thickBot="1">
      <c r="A56" s="151" t="s">
        <v>325</v>
      </c>
      <c r="B56" s="152"/>
      <c r="C56" s="168"/>
      <c r="D56" s="169"/>
    </row>
    <row r="57" spans="1:5" ht="19.5" customHeight="1" thickBot="1">
      <c r="A57" s="231" t="s">
        <v>24</v>
      </c>
      <c r="B57" s="233" t="s">
        <v>25</v>
      </c>
      <c r="C57" s="233" t="s">
        <v>205</v>
      </c>
      <c r="D57" s="234">
        <v>44</v>
      </c>
      <c r="E57" s="232"/>
    </row>
    <row r="58" spans="1:12" ht="14.25">
      <c r="A58" s="98"/>
      <c r="B58" s="153"/>
      <c r="C58" s="397" t="s">
        <v>153</v>
      </c>
      <c r="D58" s="398"/>
      <c r="E58" s="398"/>
      <c r="F58" s="399"/>
      <c r="G58" s="101"/>
      <c r="H58" s="167"/>
      <c r="I58" s="167"/>
      <c r="J58" s="167"/>
      <c r="K58" s="167"/>
      <c r="L58" s="167"/>
    </row>
    <row r="59" spans="1:7" ht="15" thickBot="1">
      <c r="A59" s="103" t="s">
        <v>37</v>
      </c>
      <c r="B59" s="91" t="s">
        <v>36</v>
      </c>
      <c r="C59" s="262" t="s">
        <v>154</v>
      </c>
      <c r="D59" s="262" t="s">
        <v>155</v>
      </c>
      <c r="E59" s="265" t="s">
        <v>51</v>
      </c>
      <c r="F59" s="265" t="s">
        <v>52</v>
      </c>
      <c r="G59" s="196" t="s">
        <v>337</v>
      </c>
    </row>
    <row r="60" spans="1:7" ht="15" thickTop="1">
      <c r="A60" s="97" t="s">
        <v>151</v>
      </c>
      <c r="B60" s="104" t="s">
        <v>159</v>
      </c>
      <c r="C60" s="220">
        <v>250</v>
      </c>
      <c r="D60" s="220">
        <v>350</v>
      </c>
      <c r="E60" s="220">
        <v>225</v>
      </c>
      <c r="F60" s="220">
        <v>250</v>
      </c>
      <c r="G60" s="221">
        <v>350</v>
      </c>
    </row>
    <row r="61" spans="1:16" ht="14.25">
      <c r="A61" s="97" t="s">
        <v>152</v>
      </c>
      <c r="B61" s="104" t="s">
        <v>158</v>
      </c>
      <c r="C61" s="220">
        <v>1</v>
      </c>
      <c r="D61" s="220">
        <v>30</v>
      </c>
      <c r="E61" s="220">
        <v>25</v>
      </c>
      <c r="F61" s="220">
        <v>25</v>
      </c>
      <c r="G61" s="222">
        <v>30</v>
      </c>
      <c r="O61" s="166"/>
      <c r="P61" s="166"/>
    </row>
    <row r="62" spans="1:16" ht="15">
      <c r="A62" s="97" t="s">
        <v>15</v>
      </c>
      <c r="B62" s="104" t="s">
        <v>108</v>
      </c>
      <c r="C62" s="220">
        <v>0</v>
      </c>
      <c r="D62" s="220">
        <v>16.7</v>
      </c>
      <c r="E62" s="259">
        <v>0</v>
      </c>
      <c r="F62" s="259">
        <v>8</v>
      </c>
      <c r="G62" s="222">
        <v>16.7</v>
      </c>
      <c r="O62" s="166"/>
      <c r="P62" s="166"/>
    </row>
    <row r="63" spans="1:16" ht="15">
      <c r="A63" s="97" t="s">
        <v>16</v>
      </c>
      <c r="B63" s="104" t="s">
        <v>108</v>
      </c>
      <c r="C63" s="220">
        <v>8</v>
      </c>
      <c r="D63" s="220">
        <v>2</v>
      </c>
      <c r="E63" s="220">
        <v>8</v>
      </c>
      <c r="F63" s="220">
        <v>0</v>
      </c>
      <c r="G63" s="222">
        <v>2</v>
      </c>
      <c r="O63" s="166"/>
      <c r="P63" s="166"/>
    </row>
    <row r="64" spans="1:16" ht="15">
      <c r="A64" s="97" t="s">
        <v>107</v>
      </c>
      <c r="B64" s="104"/>
      <c r="C64" s="220">
        <v>0</v>
      </c>
      <c r="D64" s="220">
        <v>0.4</v>
      </c>
      <c r="E64" s="220">
        <v>0</v>
      </c>
      <c r="F64" s="220">
        <v>0.4</v>
      </c>
      <c r="G64" s="222">
        <v>0.4</v>
      </c>
      <c r="O64" s="166"/>
      <c r="P64" s="166"/>
    </row>
    <row r="65" spans="1:13" ht="14.25">
      <c r="A65" s="97" t="s">
        <v>48</v>
      </c>
      <c r="B65" s="156" t="s">
        <v>335</v>
      </c>
      <c r="C65" s="260">
        <f>C63+(C62*C64)</f>
        <v>8</v>
      </c>
      <c r="D65" s="260">
        <f>D63+(D62*D64)</f>
        <v>8.68</v>
      </c>
      <c r="E65" s="260">
        <f>E63+(E62*E64)</f>
        <v>8</v>
      </c>
      <c r="F65" s="260">
        <f>F63+(F62*F64)</f>
        <v>3.2</v>
      </c>
      <c r="G65" s="261">
        <f>G63+(G62*G64)</f>
        <v>8.68</v>
      </c>
      <c r="H65" s="393"/>
      <c r="I65" s="393"/>
      <c r="J65" s="393"/>
      <c r="K65" s="393"/>
      <c r="L65" s="393"/>
      <c r="M65" s="393"/>
    </row>
    <row r="66" spans="1:7" ht="15" thickBot="1">
      <c r="A66" s="163" t="s">
        <v>114</v>
      </c>
      <c r="B66" s="255" t="s">
        <v>138</v>
      </c>
      <c r="C66" s="256">
        <f>70*365*24</f>
        <v>613200</v>
      </c>
      <c r="D66" s="256">
        <f>70*365*24</f>
        <v>613200</v>
      </c>
      <c r="E66" s="256">
        <f>70*365*24</f>
        <v>613200</v>
      </c>
      <c r="F66" s="256">
        <f>70*365*24</f>
        <v>613200</v>
      </c>
      <c r="G66" s="258">
        <f>70*365*24</f>
        <v>613200</v>
      </c>
    </row>
    <row r="67" spans="1:8" ht="16.5" thickTop="1">
      <c r="A67" s="199" t="s">
        <v>386</v>
      </c>
      <c r="B67" s="200" t="s">
        <v>20</v>
      </c>
      <c r="C67" s="88">
        <f>'PEF Construction Scenario'!D68</f>
        <v>11452749.582466468</v>
      </c>
      <c r="D67" s="88">
        <f>'PEF Off-Site Resident'!D53</f>
        <v>1073862181.0381424</v>
      </c>
      <c r="E67" s="88">
        <f>'PEF Comm-Indust Worker'!D15</f>
        <v>952974833.0895107</v>
      </c>
      <c r="F67" s="88">
        <f>'PEF Comm-Indust Worker'!D15</f>
        <v>952974833.0895107</v>
      </c>
      <c r="G67" s="254">
        <f>'PEF Onsite Resident'!D19</f>
        <v>884931868.6282659</v>
      </c>
      <c r="H67" s="142" t="s">
        <v>353</v>
      </c>
    </row>
    <row r="68" spans="1:7" s="89" customFormat="1" ht="16.5" thickBot="1">
      <c r="A68" s="202" t="s">
        <v>386</v>
      </c>
      <c r="B68" s="201" t="s">
        <v>21</v>
      </c>
      <c r="C68" s="154">
        <f>C67/1000</f>
        <v>11452.749582466467</v>
      </c>
      <c r="D68" s="154">
        <f>D67/1000</f>
        <v>1073862.1810381424</v>
      </c>
      <c r="E68" s="154">
        <f>E67/1000</f>
        <v>952974.8330895107</v>
      </c>
      <c r="F68" s="154">
        <f>F67/1000</f>
        <v>952974.8330895107</v>
      </c>
      <c r="G68" s="155">
        <f>G67/1000</f>
        <v>884931.8686282658</v>
      </c>
    </row>
    <row r="70" ht="14.25">
      <c r="A70" s="197" t="s">
        <v>375</v>
      </c>
    </row>
    <row r="71" ht="14.25">
      <c r="A71" t="s">
        <v>213</v>
      </c>
    </row>
    <row r="72" ht="14.25">
      <c r="A72" t="s">
        <v>17</v>
      </c>
    </row>
    <row r="73" ht="14.25">
      <c r="A73" t="s">
        <v>110</v>
      </c>
    </row>
    <row r="74" ht="14.25">
      <c r="A74" t="s">
        <v>18</v>
      </c>
    </row>
    <row r="75" ht="15">
      <c r="A75" t="s">
        <v>49</v>
      </c>
    </row>
  </sheetData>
  <sheetProtection/>
  <mergeCells count="19">
    <mergeCell ref="C15:G15"/>
    <mergeCell ref="H15:L15"/>
    <mergeCell ref="F28:I28"/>
    <mergeCell ref="J28:M28"/>
    <mergeCell ref="B27:C27"/>
    <mergeCell ref="E27:M27"/>
    <mergeCell ref="A22:D22"/>
    <mergeCell ref="A23:D23"/>
    <mergeCell ref="J29:K29"/>
    <mergeCell ref="L29:M29"/>
    <mergeCell ref="F29:G29"/>
    <mergeCell ref="H29:I29"/>
    <mergeCell ref="B37:C37"/>
    <mergeCell ref="A42:H42"/>
    <mergeCell ref="A43:H43"/>
    <mergeCell ref="H65:M65"/>
    <mergeCell ref="E38:H38"/>
    <mergeCell ref="C58:F58"/>
    <mergeCell ref="A53:D53"/>
  </mergeCells>
  <printOptions horizontalCentered="1"/>
  <pageMargins left="0.25" right="0.25" top="1.5" bottom="0.5" header="0.5" footer="0.5"/>
  <pageSetup horizontalDpi="1200" verticalDpi="1200" orientation="landscape" r:id="rId1"/>
  <headerFooter alignWithMargins="0">
    <oddHeader>&amp;C&amp;"Times New Roman,Bold"&amp;10TABLE 26
ASBESTOS RISK SUMMARY
HUMAN HEALTH RISK ASSESSMENT AND CLOSURE REPORT FOR GALLERIA NORTH-SCHOOL SITE SUB-AREA
BMI COMMON AREAS (EASTSIDE), CLARK COUNTY, NEVADA
(Page &amp;P of &amp;N)</oddHeader>
  </headerFooter>
</worksheet>
</file>

<file path=xl/worksheets/sheet2.xml><?xml version="1.0" encoding="utf-8"?>
<worksheet xmlns="http://schemas.openxmlformats.org/spreadsheetml/2006/main" xmlns:r="http://schemas.openxmlformats.org/officeDocument/2006/relationships">
  <dimension ref="A1:I108"/>
  <sheetViews>
    <sheetView zoomScalePageLayoutView="0" workbookViewId="0" topLeftCell="A1">
      <selection activeCell="A2" sqref="A2"/>
    </sheetView>
  </sheetViews>
  <sheetFormatPr defaultColWidth="11.421875" defaultRowHeight="15"/>
  <cols>
    <col min="1" max="1" width="79.7109375" style="0" customWidth="1"/>
    <col min="2" max="2" width="12.421875" style="0" bestFit="1" customWidth="1"/>
    <col min="3" max="3" width="16.28125" style="0" bestFit="1" customWidth="1"/>
    <col min="4" max="4" width="9.421875" style="52" customWidth="1"/>
  </cols>
  <sheetData>
    <row r="1" spans="1:9" ht="18.75">
      <c r="A1" s="421" t="s">
        <v>225</v>
      </c>
      <c r="B1" s="422"/>
      <c r="C1" s="422"/>
      <c r="D1" s="422"/>
      <c r="E1" s="304"/>
      <c r="F1" s="304"/>
      <c r="G1" s="86"/>
      <c r="H1" s="86"/>
      <c r="I1" s="86"/>
    </row>
    <row r="2" spans="1:9" ht="12.75" customHeight="1">
      <c r="A2" s="277" t="s">
        <v>37</v>
      </c>
      <c r="B2" s="278" t="s">
        <v>40</v>
      </c>
      <c r="C2" s="278" t="s">
        <v>36</v>
      </c>
      <c r="D2" s="279" t="s">
        <v>38</v>
      </c>
      <c r="E2" s="86"/>
      <c r="F2" s="86"/>
      <c r="G2" s="86"/>
      <c r="H2" s="86"/>
      <c r="I2" s="86"/>
    </row>
    <row r="3" spans="1:9" ht="12.75" customHeight="1">
      <c r="A3" s="307" t="s">
        <v>41</v>
      </c>
      <c r="B3" s="68"/>
      <c r="C3" s="68"/>
      <c r="D3" s="308"/>
      <c r="E3" s="86"/>
      <c r="F3" s="86"/>
      <c r="G3" s="86"/>
      <c r="H3" s="86"/>
      <c r="I3" s="86"/>
    </row>
    <row r="4" spans="1:9" ht="15.75">
      <c r="A4" s="316" t="s">
        <v>42</v>
      </c>
      <c r="B4" s="284" t="s">
        <v>43</v>
      </c>
      <c r="C4" s="289" t="s">
        <v>44</v>
      </c>
      <c r="D4" s="317">
        <f>(0.036*(1-D5)*((D6/D7)^3)*D8*D9*D10*8760)</f>
        <v>517614.5876831802</v>
      </c>
      <c r="E4" s="86"/>
      <c r="F4" s="86"/>
      <c r="G4" s="86"/>
      <c r="H4" s="86"/>
      <c r="I4" s="86"/>
    </row>
    <row r="5" spans="1:4" ht="15.75">
      <c r="A5" s="283" t="s">
        <v>232</v>
      </c>
      <c r="B5" s="284" t="s">
        <v>233</v>
      </c>
      <c r="C5" s="285" t="s">
        <v>234</v>
      </c>
      <c r="D5" s="290">
        <v>0</v>
      </c>
    </row>
    <row r="6" spans="1:4" ht="15.75">
      <c r="A6" s="283" t="s">
        <v>235</v>
      </c>
      <c r="B6" s="287" t="s">
        <v>236</v>
      </c>
      <c r="C6" s="287" t="s">
        <v>237</v>
      </c>
      <c r="D6" s="288">
        <v>4.1</v>
      </c>
    </row>
    <row r="7" spans="1:4" ht="15.75">
      <c r="A7" s="283" t="s">
        <v>238</v>
      </c>
      <c r="B7" s="284" t="s">
        <v>239</v>
      </c>
      <c r="C7" s="289" t="s">
        <v>237</v>
      </c>
      <c r="D7" s="290">
        <v>11.32</v>
      </c>
    </row>
    <row r="8" spans="1:4" ht="15.75">
      <c r="A8" s="283" t="s">
        <v>240</v>
      </c>
      <c r="B8" s="284" t="s">
        <v>241</v>
      </c>
      <c r="C8" s="285" t="s">
        <v>234</v>
      </c>
      <c r="D8" s="318">
        <v>0.194</v>
      </c>
    </row>
    <row r="9" spans="1:4" ht="15.75">
      <c r="A9" s="294" t="s">
        <v>242</v>
      </c>
      <c r="B9" s="295" t="s">
        <v>243</v>
      </c>
      <c r="C9" s="295" t="s">
        <v>244</v>
      </c>
      <c r="D9" s="297">
        <f>$D$44*4047</f>
        <v>178068</v>
      </c>
    </row>
    <row r="10" spans="1:5" ht="15.75">
      <c r="A10" s="319" t="s">
        <v>245</v>
      </c>
      <c r="B10" s="320" t="s">
        <v>246</v>
      </c>
      <c r="C10" s="321" t="s">
        <v>247</v>
      </c>
      <c r="D10" s="322">
        <f>Risk_Calculations!C61</f>
        <v>1</v>
      </c>
      <c r="E10" s="210" t="s">
        <v>82</v>
      </c>
    </row>
    <row r="11" spans="1:4" ht="15.75">
      <c r="A11" s="316" t="s">
        <v>351</v>
      </c>
      <c r="B11" s="284" t="s">
        <v>165</v>
      </c>
      <c r="C11" s="295" t="s">
        <v>44</v>
      </c>
      <c r="D11" s="317">
        <f>0.35*0.0016*(((D6/2.2)^1.3)/((D13/2)^1.4))*D12*D14*D15*D16*1000</f>
        <v>45716.7587175075</v>
      </c>
    </row>
    <row r="12" spans="1:4" ht="15.75">
      <c r="A12" s="323" t="s">
        <v>352</v>
      </c>
      <c r="B12" s="324" t="s">
        <v>166</v>
      </c>
      <c r="C12" s="295" t="s">
        <v>167</v>
      </c>
      <c r="D12" s="325">
        <v>1.83</v>
      </c>
    </row>
    <row r="13" spans="1:4" ht="15.75">
      <c r="A13" s="323" t="s">
        <v>275</v>
      </c>
      <c r="B13" s="295" t="s">
        <v>168</v>
      </c>
      <c r="C13" s="295" t="s">
        <v>56</v>
      </c>
      <c r="D13" s="325">
        <v>4.98</v>
      </c>
    </row>
    <row r="14" spans="1:4" ht="18">
      <c r="A14" s="294" t="s">
        <v>57</v>
      </c>
      <c r="B14" s="295" t="s">
        <v>58</v>
      </c>
      <c r="C14" s="295" t="s">
        <v>244</v>
      </c>
      <c r="D14" s="297">
        <f>D9/5</f>
        <v>35613.6</v>
      </c>
    </row>
    <row r="15" spans="1:4" ht="15.75">
      <c r="A15" s="294" t="s">
        <v>273</v>
      </c>
      <c r="B15" s="295" t="s">
        <v>59</v>
      </c>
      <c r="C15" s="295" t="s">
        <v>60</v>
      </c>
      <c r="D15" s="297">
        <v>1</v>
      </c>
    </row>
    <row r="16" spans="1:4" ht="18">
      <c r="A16" s="326" t="s">
        <v>61</v>
      </c>
      <c r="B16" s="327" t="s">
        <v>62</v>
      </c>
      <c r="C16" s="328" t="s">
        <v>234</v>
      </c>
      <c r="D16" s="329">
        <v>2</v>
      </c>
    </row>
    <row r="17" spans="1:4" ht="6" customHeight="1">
      <c r="A17" s="274"/>
      <c r="B17" s="14"/>
      <c r="C17" s="14"/>
      <c r="D17" s="275"/>
    </row>
    <row r="18" spans="1:4" ht="15.75">
      <c r="A18" s="291" t="s">
        <v>63</v>
      </c>
      <c r="B18" s="284" t="s">
        <v>64</v>
      </c>
      <c r="C18" s="295" t="s">
        <v>44</v>
      </c>
      <c r="D18" s="317">
        <f>0.75*(0.45*(D19^1.5)/(D20^1.4))*(D24/D21)*1000</f>
        <v>12411.914959131846</v>
      </c>
    </row>
    <row r="19" spans="1:4" ht="15.75">
      <c r="A19" s="283" t="s">
        <v>274</v>
      </c>
      <c r="B19" s="330" t="s">
        <v>65</v>
      </c>
      <c r="C19" s="295" t="s">
        <v>56</v>
      </c>
      <c r="D19" s="325">
        <v>6.9</v>
      </c>
    </row>
    <row r="20" spans="1:4" ht="15.75">
      <c r="A20" s="323" t="s">
        <v>275</v>
      </c>
      <c r="B20" s="295" t="s">
        <v>168</v>
      </c>
      <c r="C20" s="295" t="s">
        <v>56</v>
      </c>
      <c r="D20" s="325">
        <f>D13</f>
        <v>4.98</v>
      </c>
    </row>
    <row r="21" spans="1:4" ht="15.75">
      <c r="A21" s="323" t="s">
        <v>276</v>
      </c>
      <c r="B21" s="295" t="s">
        <v>66</v>
      </c>
      <c r="C21" s="295" t="s">
        <v>67</v>
      </c>
      <c r="D21" s="297">
        <v>11.4</v>
      </c>
    </row>
    <row r="22" spans="1:4" ht="15">
      <c r="A22" s="323" t="s">
        <v>115</v>
      </c>
      <c r="B22" s="295" t="s">
        <v>47</v>
      </c>
      <c r="C22" s="296" t="s">
        <v>234</v>
      </c>
      <c r="D22" s="297">
        <v>3</v>
      </c>
    </row>
    <row r="23" spans="1:4" ht="15">
      <c r="A23" s="323" t="s">
        <v>45</v>
      </c>
      <c r="B23" s="295" t="s">
        <v>46</v>
      </c>
      <c r="C23" s="295" t="s">
        <v>60</v>
      </c>
      <c r="D23" s="297">
        <v>2.44</v>
      </c>
    </row>
    <row r="24" spans="1:4" ht="15.75">
      <c r="A24" s="331" t="s">
        <v>68</v>
      </c>
      <c r="B24" s="327" t="s">
        <v>69</v>
      </c>
      <c r="C24" s="327" t="s">
        <v>70</v>
      </c>
      <c r="D24" s="329">
        <f>(SQRT(D9)/D23)*SQRT(D9)*D22/1000</f>
        <v>218.9360655737705</v>
      </c>
    </row>
    <row r="25" spans="1:4" ht="6" customHeight="1">
      <c r="A25" s="274"/>
      <c r="B25" s="14"/>
      <c r="C25" s="14"/>
      <c r="D25" s="275"/>
    </row>
    <row r="26" spans="1:4" ht="15.75">
      <c r="A26" s="291" t="s">
        <v>71</v>
      </c>
      <c r="B26" s="284" t="s">
        <v>72</v>
      </c>
      <c r="C26" s="295" t="s">
        <v>44</v>
      </c>
      <c r="D26" s="317">
        <f>0.6*0.0056*(D27^2)*D30*1000</f>
        <v>95601.84843540983</v>
      </c>
    </row>
    <row r="27" spans="1:4" ht="15.75">
      <c r="A27" s="323" t="s">
        <v>277</v>
      </c>
      <c r="B27" s="295" t="s">
        <v>73</v>
      </c>
      <c r="C27" s="295" t="s">
        <v>67</v>
      </c>
      <c r="D27" s="297">
        <v>11.4</v>
      </c>
    </row>
    <row r="28" spans="1:4" ht="15">
      <c r="A28" s="323" t="s">
        <v>116</v>
      </c>
      <c r="B28" s="295" t="s">
        <v>117</v>
      </c>
      <c r="C28" s="296" t="s">
        <v>234</v>
      </c>
      <c r="D28" s="297">
        <v>3</v>
      </c>
    </row>
    <row r="29" spans="1:4" ht="15">
      <c r="A29" s="323" t="s">
        <v>118</v>
      </c>
      <c r="B29" s="295" t="s">
        <v>119</v>
      </c>
      <c r="C29" s="295" t="s">
        <v>60</v>
      </c>
      <c r="D29" s="297">
        <v>2.44</v>
      </c>
    </row>
    <row r="30" spans="1:4" ht="15.75">
      <c r="A30" s="331" t="s">
        <v>278</v>
      </c>
      <c r="B30" s="327" t="s">
        <v>74</v>
      </c>
      <c r="C30" s="327" t="s">
        <v>70</v>
      </c>
      <c r="D30" s="329">
        <f>(SQRT(D9)/D29)*SQRT(D9)*D28/1000</f>
        <v>218.9360655737705</v>
      </c>
    </row>
    <row r="31" spans="1:4" ht="6" customHeight="1">
      <c r="A31" s="274"/>
      <c r="B31" s="14"/>
      <c r="C31" s="14"/>
      <c r="D31" s="275"/>
    </row>
    <row r="32" spans="1:4" ht="15.75">
      <c r="A32" s="291" t="s">
        <v>75</v>
      </c>
      <c r="B32" s="284" t="s">
        <v>76</v>
      </c>
      <c r="C32" s="295" t="s">
        <v>44</v>
      </c>
      <c r="D32" s="317">
        <f>1.1*(D33^0.6)*D34*4047*0.0001*1000*D35</f>
        <v>24965.945136805498</v>
      </c>
    </row>
    <row r="33" spans="1:4" ht="15.75">
      <c r="A33" s="283" t="s">
        <v>274</v>
      </c>
      <c r="B33" s="330" t="s">
        <v>65</v>
      </c>
      <c r="C33" s="295" t="s">
        <v>56</v>
      </c>
      <c r="D33" s="325">
        <f>D19</f>
        <v>6.9</v>
      </c>
    </row>
    <row r="34" spans="1:4" ht="15.75">
      <c r="A34" s="294" t="s">
        <v>77</v>
      </c>
      <c r="B34" s="295" t="s">
        <v>78</v>
      </c>
      <c r="C34" s="295" t="s">
        <v>79</v>
      </c>
      <c r="D34" s="297">
        <f>D44/5</f>
        <v>8.8</v>
      </c>
    </row>
    <row r="35" spans="1:4" ht="15.75">
      <c r="A35" s="326" t="s">
        <v>195</v>
      </c>
      <c r="B35" s="327" t="s">
        <v>62</v>
      </c>
      <c r="C35" s="328" t="s">
        <v>234</v>
      </c>
      <c r="D35" s="329">
        <v>2</v>
      </c>
    </row>
    <row r="36" spans="1:4" ht="6" customHeight="1">
      <c r="A36" s="276"/>
      <c r="B36" s="14"/>
      <c r="C36" s="14"/>
      <c r="D36" s="275"/>
    </row>
    <row r="37" spans="1:4" ht="15.75">
      <c r="A37" s="316" t="s">
        <v>196</v>
      </c>
      <c r="B37" s="332" t="s">
        <v>128</v>
      </c>
      <c r="C37" s="284" t="s">
        <v>197</v>
      </c>
      <c r="D37" s="333">
        <f>SUM(D4,D11,D18,D26,D32)/D9/D38</f>
        <v>1.2399689280438092E-07</v>
      </c>
    </row>
    <row r="38" spans="1:5" ht="15.75">
      <c r="A38" s="331" t="s">
        <v>198</v>
      </c>
      <c r="B38" s="327" t="s">
        <v>39</v>
      </c>
      <c r="C38" s="327" t="s">
        <v>199</v>
      </c>
      <c r="D38" s="334">
        <f>D47*60*60</f>
        <v>31536000</v>
      </c>
      <c r="E38" s="226" t="s">
        <v>364</v>
      </c>
    </row>
    <row r="39" spans="1:4" ht="6" customHeight="1">
      <c r="A39" s="274"/>
      <c r="B39" s="11"/>
      <c r="C39" s="11"/>
      <c r="D39" s="275"/>
    </row>
    <row r="40" spans="1:4" ht="15.75">
      <c r="A40" s="291" t="s">
        <v>200</v>
      </c>
      <c r="B40" s="292" t="s">
        <v>126</v>
      </c>
      <c r="C40" s="295" t="s">
        <v>201</v>
      </c>
      <c r="D40" s="293">
        <f>D41*(EXP(((LN(D44)-D42)^2/D43)))</f>
        <v>6.701798430352632</v>
      </c>
    </row>
    <row r="41" spans="1:4" ht="15.75">
      <c r="A41" s="294" t="s">
        <v>202</v>
      </c>
      <c r="B41" s="295" t="s">
        <v>33</v>
      </c>
      <c r="C41" s="296" t="s">
        <v>234</v>
      </c>
      <c r="D41" s="297">
        <v>2.4538</v>
      </c>
    </row>
    <row r="42" spans="1:4" ht="15.75">
      <c r="A42" s="294" t="s">
        <v>203</v>
      </c>
      <c r="B42" s="295" t="s">
        <v>34</v>
      </c>
      <c r="C42" s="296" t="s">
        <v>234</v>
      </c>
      <c r="D42" s="297">
        <v>17.566</v>
      </c>
    </row>
    <row r="43" spans="1:4" ht="15.75">
      <c r="A43" s="294" t="s">
        <v>204</v>
      </c>
      <c r="B43" s="295" t="s">
        <v>35</v>
      </c>
      <c r="C43" s="296" t="s">
        <v>234</v>
      </c>
      <c r="D43" s="297">
        <v>189.0426</v>
      </c>
    </row>
    <row r="44" spans="1:5" ht="15.75">
      <c r="A44" s="294" t="s">
        <v>242</v>
      </c>
      <c r="B44" s="295" t="s">
        <v>243</v>
      </c>
      <c r="C44" s="295" t="s">
        <v>205</v>
      </c>
      <c r="D44" s="297">
        <f>Risk_Calculations!D57</f>
        <v>44</v>
      </c>
      <c r="E44" s="142" t="s">
        <v>27</v>
      </c>
    </row>
    <row r="45" spans="1:4" ht="6" customHeight="1">
      <c r="A45" s="276"/>
      <c r="B45" s="14"/>
      <c r="C45" s="14"/>
      <c r="D45" s="275"/>
    </row>
    <row r="46" spans="1:4" ht="15.75">
      <c r="A46" s="335" t="s">
        <v>206</v>
      </c>
      <c r="B46" s="292" t="s">
        <v>125</v>
      </c>
      <c r="C46" s="296" t="s">
        <v>234</v>
      </c>
      <c r="D46" s="336">
        <f>0.1852+(5.357/$D$47)+(-9.6318/($D$47^2))</f>
        <v>0.18581140416432101</v>
      </c>
    </row>
    <row r="47" spans="1:5" ht="15.75" thickBot="1">
      <c r="A47" s="340" t="s">
        <v>111</v>
      </c>
      <c r="B47" s="341" t="s">
        <v>112</v>
      </c>
      <c r="C47" s="341" t="s">
        <v>113</v>
      </c>
      <c r="D47" s="342">
        <f>Risk_Calculations!$C61*8760</f>
        <v>8760</v>
      </c>
      <c r="E47" s="226" t="s">
        <v>376</v>
      </c>
    </row>
    <row r="48" spans="1:4" ht="16.5" thickTop="1">
      <c r="A48" s="337" t="s">
        <v>207</v>
      </c>
      <c r="B48" s="338" t="s">
        <v>208</v>
      </c>
      <c r="C48" s="338" t="s">
        <v>89</v>
      </c>
      <c r="D48" s="339">
        <f>D40*(1/D46)*(1/D37)</f>
        <v>290876203.84467804</v>
      </c>
    </row>
    <row r="49" spans="1:4" ht="6" customHeight="1">
      <c r="A49" s="309"/>
      <c r="B49" s="57"/>
      <c r="C49" s="57"/>
      <c r="D49" s="310"/>
    </row>
    <row r="50" spans="1:4" ht="12.75" customHeight="1">
      <c r="A50" s="311" t="s">
        <v>90</v>
      </c>
      <c r="B50" s="65"/>
      <c r="C50" s="65"/>
      <c r="D50" s="308"/>
    </row>
    <row r="51" spans="1:4" ht="15.75">
      <c r="A51" s="343" t="s">
        <v>91</v>
      </c>
      <c r="B51" s="344" t="s">
        <v>92</v>
      </c>
      <c r="C51" s="289" t="s">
        <v>60</v>
      </c>
      <c r="D51" s="345">
        <f>SQRT(D9)</f>
        <v>421.98104222820245</v>
      </c>
    </row>
    <row r="52" spans="1:4" ht="15.75">
      <c r="A52" s="343" t="s">
        <v>93</v>
      </c>
      <c r="B52" s="344" t="s">
        <v>94</v>
      </c>
      <c r="C52" s="289" t="s">
        <v>60</v>
      </c>
      <c r="D52" s="345">
        <f>20*0.3048</f>
        <v>6.096</v>
      </c>
    </row>
    <row r="53" spans="1:4" ht="15.75">
      <c r="A53" s="343" t="s">
        <v>279</v>
      </c>
      <c r="B53" s="344" t="s">
        <v>95</v>
      </c>
      <c r="C53" s="289" t="s">
        <v>244</v>
      </c>
      <c r="D53" s="345">
        <f>D51*D52</f>
        <v>2572.3964334231223</v>
      </c>
    </row>
    <row r="54" spans="1:4" ht="15.75">
      <c r="A54" s="294" t="s">
        <v>280</v>
      </c>
      <c r="B54" s="346" t="s">
        <v>65</v>
      </c>
      <c r="C54" s="344" t="s">
        <v>56</v>
      </c>
      <c r="D54" s="288">
        <v>8.5</v>
      </c>
    </row>
    <row r="55" spans="1:4" ht="15.75">
      <c r="A55" s="347" t="s">
        <v>96</v>
      </c>
      <c r="B55" s="289" t="s">
        <v>97</v>
      </c>
      <c r="C55" s="289" t="s">
        <v>98</v>
      </c>
      <c r="D55" s="345">
        <v>8</v>
      </c>
    </row>
    <row r="56" spans="1:4" ht="15.75">
      <c r="A56" s="343" t="s">
        <v>99</v>
      </c>
      <c r="B56" s="344" t="s">
        <v>168</v>
      </c>
      <c r="C56" s="344" t="s">
        <v>56</v>
      </c>
      <c r="D56" s="288">
        <v>4.31</v>
      </c>
    </row>
    <row r="57" spans="1:4" ht="15">
      <c r="A57" s="347" t="s">
        <v>282</v>
      </c>
      <c r="B57" s="344" t="s">
        <v>100</v>
      </c>
      <c r="C57" s="289" t="s">
        <v>101</v>
      </c>
      <c r="D57" s="288">
        <v>27</v>
      </c>
    </row>
    <row r="58" spans="1:4" ht="15">
      <c r="A58" s="347" t="s">
        <v>355</v>
      </c>
      <c r="B58" s="344" t="s">
        <v>356</v>
      </c>
      <c r="C58" s="289" t="s">
        <v>357</v>
      </c>
      <c r="D58" s="345">
        <v>30</v>
      </c>
    </row>
    <row r="59" spans="1:4" ht="15">
      <c r="A59" s="347" t="s">
        <v>358</v>
      </c>
      <c r="B59" s="344" t="s">
        <v>359</v>
      </c>
      <c r="C59" s="289" t="s">
        <v>315</v>
      </c>
      <c r="D59" s="345">
        <f>D51</f>
        <v>421.98104222820245</v>
      </c>
    </row>
    <row r="60" spans="1:4" ht="15">
      <c r="A60" s="343" t="s">
        <v>283</v>
      </c>
      <c r="B60" s="344" t="s">
        <v>10</v>
      </c>
      <c r="C60" s="344" t="s">
        <v>70</v>
      </c>
      <c r="D60" s="345">
        <f>D58*(D51)*((52/2)*5)/1000</f>
        <v>1645.7260646899895</v>
      </c>
    </row>
    <row r="61" spans="1:4" ht="6" customHeight="1">
      <c r="A61" s="312"/>
      <c r="B61" s="8"/>
      <c r="C61" s="8"/>
      <c r="D61" s="313"/>
    </row>
    <row r="62" spans="1:4" ht="15">
      <c r="A62" s="348" t="s">
        <v>11</v>
      </c>
      <c r="B62" s="344" t="s">
        <v>12</v>
      </c>
      <c r="C62" s="344" t="s">
        <v>201</v>
      </c>
      <c r="D62" s="345">
        <f>D63*(EXP(((LN(D44)-D64)^2/D65)))</f>
        <v>13.641942742953393</v>
      </c>
    </row>
    <row r="63" spans="1:4" ht="15">
      <c r="A63" s="294" t="s">
        <v>202</v>
      </c>
      <c r="B63" s="344" t="s">
        <v>33</v>
      </c>
      <c r="C63" s="344"/>
      <c r="D63" s="345">
        <v>12.9351</v>
      </c>
    </row>
    <row r="64" spans="1:4" ht="15">
      <c r="A64" s="294" t="s">
        <v>203</v>
      </c>
      <c r="B64" s="344" t="s">
        <v>34</v>
      </c>
      <c r="C64" s="344"/>
      <c r="D64" s="345">
        <v>5.7383</v>
      </c>
    </row>
    <row r="65" spans="1:4" ht="15.75" thickBot="1">
      <c r="A65" s="352" t="s">
        <v>204</v>
      </c>
      <c r="B65" s="353" t="s">
        <v>35</v>
      </c>
      <c r="C65" s="353"/>
      <c r="D65" s="354">
        <v>71.7711</v>
      </c>
    </row>
    <row r="66" spans="1:4" ht="15.75" thickTop="1">
      <c r="A66" s="349" t="s">
        <v>13</v>
      </c>
      <c r="B66" s="350" t="s">
        <v>14</v>
      </c>
      <c r="C66" s="350" t="s">
        <v>89</v>
      </c>
      <c r="D66" s="351">
        <f>D62*(1/D46)*((D38*D53)/(((2.6*((D54/12)^0.8)*((D55/3)^0.4))/((D56/0.2)^0.3))*((365-D57)/365)*281.9*D60))</f>
        <v>11922164.268305976</v>
      </c>
    </row>
    <row r="67" spans="1:4" ht="6" customHeight="1">
      <c r="A67" s="314"/>
      <c r="B67" s="8"/>
      <c r="C67" s="8"/>
      <c r="D67" s="315"/>
    </row>
    <row r="68" spans="1:4" ht="14.25" customHeight="1">
      <c r="A68" s="298" t="s">
        <v>221</v>
      </c>
      <c r="B68" s="299" t="s">
        <v>222</v>
      </c>
      <c r="C68" s="299" t="s">
        <v>89</v>
      </c>
      <c r="D68" s="300">
        <f>1/((1/D66)+(1/D48))</f>
        <v>11452749.582466468</v>
      </c>
    </row>
    <row r="69" spans="1:5" ht="14.25" customHeight="1">
      <c r="A69" s="298" t="s">
        <v>219</v>
      </c>
      <c r="B69" s="299" t="s">
        <v>104</v>
      </c>
      <c r="C69" s="299" t="s">
        <v>220</v>
      </c>
      <c r="D69" s="300">
        <f>1/D68</f>
        <v>8.731527680749653E-08</v>
      </c>
      <c r="E69" s="128"/>
    </row>
    <row r="70" spans="1:4" ht="12" customHeight="1">
      <c r="A70" s="32" t="s">
        <v>444</v>
      </c>
      <c r="B70" s="8"/>
      <c r="C70" s="8"/>
      <c r="D70" s="7"/>
    </row>
    <row r="71" spans="1:4" ht="13.5" customHeight="1">
      <c r="A71" s="33" t="s">
        <v>446</v>
      </c>
      <c r="B71" s="8"/>
      <c r="C71" s="8"/>
      <c r="D71" s="7"/>
    </row>
    <row r="72" spans="1:4" ht="12" customHeight="1">
      <c r="A72" s="39" t="s">
        <v>429</v>
      </c>
      <c r="B72" s="34"/>
      <c r="C72" s="35"/>
      <c r="D72" s="48"/>
    </row>
    <row r="73" spans="1:4" ht="12" customHeight="1">
      <c r="A73" s="271" t="s">
        <v>426</v>
      </c>
      <c r="B73" s="36"/>
      <c r="C73" s="37"/>
      <c r="D73" s="49"/>
    </row>
    <row r="74" spans="1:4" ht="12" customHeight="1">
      <c r="A74" s="39" t="s">
        <v>427</v>
      </c>
      <c r="B74" s="36"/>
      <c r="C74" s="37"/>
      <c r="D74" s="49"/>
    </row>
    <row r="75" spans="1:4" ht="12" customHeight="1">
      <c r="A75" s="39" t="s">
        <v>105</v>
      </c>
      <c r="B75" s="34"/>
      <c r="C75" s="35"/>
      <c r="D75" s="48"/>
    </row>
    <row r="76" spans="1:4" ht="13.5" customHeight="1">
      <c r="A76" s="39" t="s">
        <v>430</v>
      </c>
      <c r="B76" s="8"/>
      <c r="C76" s="8"/>
      <c r="D76" s="7"/>
    </row>
    <row r="77" spans="1:4" ht="12" customHeight="1">
      <c r="A77" s="306" t="s">
        <v>428</v>
      </c>
      <c r="B77" s="8"/>
      <c r="C77" s="8"/>
      <c r="D77" s="7"/>
    </row>
    <row r="78" spans="1:4" ht="12" customHeight="1">
      <c r="A78" s="306" t="s">
        <v>418</v>
      </c>
      <c r="B78" s="8"/>
      <c r="C78" s="8"/>
      <c r="D78" s="7"/>
    </row>
    <row r="79" spans="1:4" ht="12" customHeight="1">
      <c r="A79" s="39" t="s">
        <v>431</v>
      </c>
      <c r="B79" s="8"/>
      <c r="C79" s="8"/>
      <c r="D79" s="7"/>
    </row>
    <row r="80" spans="1:4" ht="13.5" customHeight="1">
      <c r="A80" s="39" t="s">
        <v>432</v>
      </c>
      <c r="B80" s="8"/>
      <c r="C80" s="8"/>
      <c r="D80" s="7"/>
    </row>
    <row r="81" spans="1:4" ht="13.5" customHeight="1">
      <c r="A81" s="39" t="s">
        <v>433</v>
      </c>
      <c r="B81" s="8"/>
      <c r="C81" s="8"/>
      <c r="D81" s="7"/>
    </row>
    <row r="82" spans="1:4" ht="13.5" customHeight="1">
      <c r="A82" s="39" t="s">
        <v>434</v>
      </c>
      <c r="B82" s="8"/>
      <c r="C82" s="8"/>
      <c r="D82" s="7"/>
    </row>
    <row r="83" spans="1:4" ht="13.5" customHeight="1">
      <c r="A83" s="39" t="s">
        <v>435</v>
      </c>
      <c r="B83" s="8"/>
      <c r="C83" s="8"/>
      <c r="D83" s="7"/>
    </row>
    <row r="84" spans="1:4" ht="13.5" customHeight="1">
      <c r="A84" s="39" t="s">
        <v>436</v>
      </c>
      <c r="B84" s="8"/>
      <c r="C84" s="8"/>
      <c r="D84" s="7"/>
    </row>
    <row r="85" spans="1:4" ht="13.5" customHeight="1">
      <c r="A85" s="39" t="s">
        <v>437</v>
      </c>
      <c r="B85" s="8"/>
      <c r="C85" s="8"/>
      <c r="D85" s="50"/>
    </row>
    <row r="86" spans="1:4" ht="13.5" customHeight="1">
      <c r="A86" s="39" t="s">
        <v>438</v>
      </c>
      <c r="B86" s="8"/>
      <c r="C86" s="8"/>
      <c r="D86" s="7"/>
    </row>
    <row r="87" spans="1:4" ht="13.5" customHeight="1">
      <c r="A87" s="39" t="s">
        <v>439</v>
      </c>
      <c r="B87" s="8"/>
      <c r="C87" s="8"/>
      <c r="D87" s="7"/>
    </row>
    <row r="88" spans="1:4" ht="12" customHeight="1">
      <c r="A88" s="39" t="s">
        <v>440</v>
      </c>
      <c r="B88" s="8"/>
      <c r="C88" s="8"/>
      <c r="D88" s="7"/>
    </row>
    <row r="89" spans="1:4" ht="12" customHeight="1">
      <c r="A89" s="39" t="s">
        <v>441</v>
      </c>
      <c r="B89" s="8"/>
      <c r="C89" s="8"/>
      <c r="D89" s="7"/>
    </row>
    <row r="90" spans="1:4" ht="12" customHeight="1">
      <c r="A90" s="306" t="s">
        <v>419</v>
      </c>
      <c r="B90" s="8"/>
      <c r="C90" s="8"/>
      <c r="D90" s="7"/>
    </row>
    <row r="91" spans="1:4" ht="13.5" customHeight="1">
      <c r="A91" s="39" t="s">
        <v>442</v>
      </c>
      <c r="B91" s="8"/>
      <c r="C91" s="8"/>
      <c r="D91" s="7"/>
    </row>
    <row r="92" spans="1:4" ht="13.5" customHeight="1">
      <c r="A92" s="39" t="s">
        <v>443</v>
      </c>
      <c r="B92" s="8"/>
      <c r="C92" s="8"/>
      <c r="D92" s="7"/>
    </row>
    <row r="93" spans="1:4" ht="13.5" customHeight="1">
      <c r="A93" s="39" t="s">
        <v>445</v>
      </c>
      <c r="B93" s="8"/>
      <c r="C93" s="8"/>
      <c r="D93" s="7"/>
    </row>
    <row r="94" spans="1:4" ht="13.5" customHeight="1">
      <c r="A94" s="39" t="s">
        <v>121</v>
      </c>
      <c r="B94" s="41"/>
      <c r="C94" s="41"/>
      <c r="D94" s="51"/>
    </row>
    <row r="95" spans="1:4" ht="13.5" customHeight="1">
      <c r="A95" s="39" t="s">
        <v>319</v>
      </c>
      <c r="B95" s="8"/>
      <c r="C95" s="8"/>
      <c r="D95" s="7"/>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sheetData>
  <sheetProtection/>
  <mergeCells count="1">
    <mergeCell ref="A1:D1"/>
  </mergeCells>
  <printOptions horizontalCentered="1"/>
  <pageMargins left="0.5" right="0.5" top="1.5" bottom="0.5" header="0.5" footer="0.5"/>
  <pageSetup horizontalDpi="1200" verticalDpi="1200" orientation="landscape" r:id="rId3"/>
  <headerFooter alignWithMargins="0">
    <oddHeader>&amp;C&amp;"Times New Roman,Bold"&amp;10TABLE 14
PARTICULATE EMISSION FACTOR (PEF) FOR CONSTRUCTION SCENARIO
HUMAN HEALTH RISK ASSESSMENT AND CLOSURE REPORT FOR GALLERIA NORTH-SCHOOL SITE SUB-AREA
BMI COMMON AREAS (EASTSIDE), CLARK COUNTY, NEVADA
(Page &amp;P of &amp;N)</oddHeader>
  </headerFooter>
  <rowBreaks count="1" manualBreakCount="1">
    <brk id="61" max="3" man="1"/>
  </rowBreaks>
  <legacyDrawing r:id="rId2"/>
</worksheet>
</file>

<file path=xl/worksheets/sheet3.xml><?xml version="1.0" encoding="utf-8"?>
<worksheet xmlns="http://schemas.openxmlformats.org/spreadsheetml/2006/main" xmlns:r="http://schemas.openxmlformats.org/officeDocument/2006/relationships">
  <dimension ref="A1:H77"/>
  <sheetViews>
    <sheetView zoomScale="150" zoomScaleNormal="150" zoomScalePageLayoutView="0" workbookViewId="0" topLeftCell="A1">
      <selection activeCell="A1" sqref="A1:G1"/>
    </sheetView>
  </sheetViews>
  <sheetFormatPr defaultColWidth="11.421875" defaultRowHeight="15"/>
  <cols>
    <col min="1" max="1" width="72.7109375" style="0" customWidth="1"/>
    <col min="2" max="2" width="8.421875" style="0" bestFit="1" customWidth="1"/>
    <col min="3" max="3" width="16.28125" style="0" bestFit="1" customWidth="1"/>
    <col min="4" max="4" width="9.28125" style="52" customWidth="1"/>
    <col min="5" max="5" width="46.140625" style="52" bestFit="1" customWidth="1"/>
    <col min="6" max="6" width="7.00390625" style="52" bestFit="1" customWidth="1"/>
    <col min="7" max="7" width="8.421875" style="0" bestFit="1" customWidth="1"/>
    <col min="8" max="8" width="15.00390625" style="0" bestFit="1" customWidth="1"/>
  </cols>
  <sheetData>
    <row r="1" spans="1:7" ht="18.75">
      <c r="A1" s="423" t="s">
        <v>224</v>
      </c>
      <c r="B1" s="423"/>
      <c r="C1" s="423"/>
      <c r="D1" s="423"/>
      <c r="E1" s="423"/>
      <c r="F1" s="423"/>
      <c r="G1" s="423"/>
    </row>
    <row r="2" spans="1:7" ht="15">
      <c r="A2" s="82" t="s">
        <v>37</v>
      </c>
      <c r="B2" s="23" t="s">
        <v>40</v>
      </c>
      <c r="C2" s="23" t="s">
        <v>36</v>
      </c>
      <c r="D2" s="69" t="s">
        <v>38</v>
      </c>
      <c r="E2" s="69"/>
      <c r="F2" s="69"/>
      <c r="G2" s="70"/>
    </row>
    <row r="3" spans="1:7" ht="15">
      <c r="A3" s="67" t="s">
        <v>41</v>
      </c>
      <c r="B3" s="68"/>
      <c r="C3" s="68"/>
      <c r="D3" s="66"/>
      <c r="E3" s="66"/>
      <c r="F3" s="66"/>
      <c r="G3" s="71"/>
    </row>
    <row r="4" spans="1:7" ht="15.75">
      <c r="A4" s="6" t="s">
        <v>42</v>
      </c>
      <c r="B4" s="57" t="s">
        <v>134</v>
      </c>
      <c r="C4" s="59" t="s">
        <v>44</v>
      </c>
      <c r="D4" s="180">
        <f>(0.036*(1-D5)*((D6/D7)^3)*D8*D9*D10*8760)</f>
        <v>480635.81669774005</v>
      </c>
      <c r="E4" s="6" t="s">
        <v>286</v>
      </c>
      <c r="F4" s="60" t="s">
        <v>135</v>
      </c>
      <c r="G4" s="63">
        <f>(0.036*(1-G5)*((D6/D7)^3)*D8*D9*(G10-1)*8760)</f>
        <v>6728901.433768361</v>
      </c>
    </row>
    <row r="5" spans="1:8" ht="17.25">
      <c r="A5" s="9" t="s">
        <v>232</v>
      </c>
      <c r="B5" s="7" t="s">
        <v>233</v>
      </c>
      <c r="C5" s="10" t="s">
        <v>234</v>
      </c>
      <c r="D5" s="44">
        <v>0</v>
      </c>
      <c r="E5" s="44"/>
      <c r="F5" s="44" t="s">
        <v>123</v>
      </c>
      <c r="G5">
        <v>0.5</v>
      </c>
      <c r="H5" s="142" t="s">
        <v>285</v>
      </c>
    </row>
    <row r="6" spans="1:6" ht="15.75">
      <c r="A6" s="9" t="s">
        <v>235</v>
      </c>
      <c r="B6" s="11" t="s">
        <v>236</v>
      </c>
      <c r="C6" s="11" t="s">
        <v>237</v>
      </c>
      <c r="D6" s="263">
        <v>4</v>
      </c>
      <c r="E6" s="12"/>
      <c r="F6" s="12"/>
    </row>
    <row r="7" spans="1:6" ht="15.75">
      <c r="A7" s="9" t="s">
        <v>238</v>
      </c>
      <c r="B7" s="7" t="s">
        <v>239</v>
      </c>
      <c r="C7" s="8" t="s">
        <v>237</v>
      </c>
      <c r="D7" s="44">
        <v>11.32</v>
      </c>
      <c r="E7" s="44"/>
      <c r="F7" s="44"/>
    </row>
    <row r="8" spans="1:6" ht="15.75">
      <c r="A8" s="9" t="s">
        <v>240</v>
      </c>
      <c r="B8" s="7" t="s">
        <v>241</v>
      </c>
      <c r="C8" s="10" t="s">
        <v>234</v>
      </c>
      <c r="D8" s="44">
        <v>0.194</v>
      </c>
      <c r="E8" s="44"/>
      <c r="F8" s="44"/>
    </row>
    <row r="9" spans="1:6" ht="15.75">
      <c r="A9" s="13" t="s">
        <v>242</v>
      </c>
      <c r="B9" s="14" t="s">
        <v>243</v>
      </c>
      <c r="C9" s="14" t="s">
        <v>244</v>
      </c>
      <c r="D9" s="15">
        <f>D51*4046.825</f>
        <v>178060.3</v>
      </c>
      <c r="E9" s="15"/>
      <c r="F9" s="15"/>
    </row>
    <row r="10" spans="1:8" ht="15.75">
      <c r="A10" s="72" t="s">
        <v>245</v>
      </c>
      <c r="B10" s="73" t="s">
        <v>246</v>
      </c>
      <c r="C10" s="31" t="s">
        <v>247</v>
      </c>
      <c r="D10" s="225">
        <f>Risk_Calculations!C61</f>
        <v>1</v>
      </c>
      <c r="E10" s="74"/>
      <c r="F10" s="74" t="s">
        <v>122</v>
      </c>
      <c r="G10" s="257">
        <f>Risk_Calculations!D61-$D$10</f>
        <v>29</v>
      </c>
      <c r="H10" s="210" t="s">
        <v>83</v>
      </c>
    </row>
    <row r="11" spans="1:6" ht="15">
      <c r="A11" s="9"/>
      <c r="B11" s="7"/>
      <c r="C11" s="8"/>
      <c r="D11" s="44"/>
      <c r="E11" s="44"/>
      <c r="F11" s="44"/>
    </row>
    <row r="12" spans="1:6" ht="15.75">
      <c r="A12" s="6" t="s">
        <v>351</v>
      </c>
      <c r="B12" s="57" t="s">
        <v>133</v>
      </c>
      <c r="C12" s="55" t="s">
        <v>44</v>
      </c>
      <c r="D12" s="181">
        <f>0.35*0.0016*(((D6/2.2)^1.3)/((D14/2)^1.4))*D13*D15*D16*D17*1000</f>
        <v>12923.583760804378</v>
      </c>
      <c r="E12" s="183"/>
      <c r="F12" s="15"/>
    </row>
    <row r="13" spans="1:6" ht="15.75">
      <c r="A13" s="16" t="s">
        <v>352</v>
      </c>
      <c r="B13" s="17" t="s">
        <v>166</v>
      </c>
      <c r="C13" s="14" t="s">
        <v>167</v>
      </c>
      <c r="D13" s="15">
        <v>1.83</v>
      </c>
      <c r="E13" s="15"/>
      <c r="F13" s="15"/>
    </row>
    <row r="14" spans="1:6" ht="15.75">
      <c r="A14" s="16" t="s">
        <v>275</v>
      </c>
      <c r="B14" s="14" t="s">
        <v>168</v>
      </c>
      <c r="C14" s="14" t="s">
        <v>56</v>
      </c>
      <c r="D14" s="264">
        <v>12</v>
      </c>
      <c r="E14" s="15"/>
      <c r="F14" s="15"/>
    </row>
    <row r="15" spans="1:6" ht="18">
      <c r="A15" s="13" t="s">
        <v>57</v>
      </c>
      <c r="B15" s="14" t="s">
        <v>58</v>
      </c>
      <c r="C15" s="14" t="s">
        <v>244</v>
      </c>
      <c r="D15" s="15">
        <f>D9/5</f>
        <v>35612.06</v>
      </c>
      <c r="E15" s="15"/>
      <c r="F15" s="15"/>
    </row>
    <row r="16" spans="1:6" ht="15">
      <c r="A16" s="13" t="s">
        <v>273</v>
      </c>
      <c r="B16" s="14" t="s">
        <v>59</v>
      </c>
      <c r="C16" s="14" t="s">
        <v>60</v>
      </c>
      <c r="D16" s="15">
        <v>1</v>
      </c>
      <c r="E16" s="15"/>
      <c r="F16" s="15"/>
    </row>
    <row r="17" spans="1:6" ht="18">
      <c r="A17" s="29" t="s">
        <v>61</v>
      </c>
      <c r="B17" s="21" t="s">
        <v>62</v>
      </c>
      <c r="C17" s="22" t="s">
        <v>234</v>
      </c>
      <c r="D17" s="45">
        <v>2</v>
      </c>
      <c r="E17" s="15"/>
      <c r="F17" s="15"/>
    </row>
    <row r="18" spans="1:6" ht="14.25">
      <c r="A18" s="16"/>
      <c r="B18" s="14"/>
      <c r="C18" s="14"/>
      <c r="D18" s="182"/>
      <c r="E18" s="15"/>
      <c r="F18" s="15"/>
    </row>
    <row r="19" spans="1:6" ht="15.75">
      <c r="A19" s="19" t="s">
        <v>63</v>
      </c>
      <c r="B19" s="57" t="s">
        <v>132</v>
      </c>
      <c r="C19" s="55" t="s">
        <v>44</v>
      </c>
      <c r="D19" s="181">
        <f>0.75*(0.45*(D20^1.5)/(D21^1.4))*(D23/D22)*1000</f>
        <v>3623.15861135104</v>
      </c>
      <c r="E19" s="61"/>
      <c r="F19" s="15"/>
    </row>
    <row r="20" spans="1:6" ht="15.75">
      <c r="A20" s="9" t="s">
        <v>274</v>
      </c>
      <c r="B20" s="20" t="s">
        <v>65</v>
      </c>
      <c r="C20" s="14" t="s">
        <v>56</v>
      </c>
      <c r="D20" s="264">
        <v>6.9</v>
      </c>
      <c r="E20" s="15"/>
      <c r="F20" s="15"/>
    </row>
    <row r="21" spans="1:6" ht="15.75">
      <c r="A21" s="16" t="s">
        <v>275</v>
      </c>
      <c r="B21" s="14" t="s">
        <v>168</v>
      </c>
      <c r="C21" s="14" t="s">
        <v>56</v>
      </c>
      <c r="D21" s="264">
        <f>D14</f>
        <v>12</v>
      </c>
      <c r="E21" s="15"/>
      <c r="F21" s="15"/>
    </row>
    <row r="22" spans="1:6" ht="16.5">
      <c r="A22" s="16" t="s">
        <v>276</v>
      </c>
      <c r="B22" s="14" t="s">
        <v>66</v>
      </c>
      <c r="C22" s="14" t="s">
        <v>67</v>
      </c>
      <c r="D22" s="15">
        <v>11.4</v>
      </c>
      <c r="E22" s="15"/>
      <c r="F22" s="15"/>
    </row>
    <row r="23" spans="1:6" ht="16.5">
      <c r="A23" s="75" t="s">
        <v>68</v>
      </c>
      <c r="B23" s="21" t="s">
        <v>69</v>
      </c>
      <c r="C23" s="21" t="s">
        <v>70</v>
      </c>
      <c r="D23" s="45">
        <f>(SQRT(D9)/2.44)*SQRT(D9)*3/1000</f>
        <v>218.92659836065573</v>
      </c>
      <c r="E23" s="15"/>
      <c r="F23" s="15"/>
    </row>
    <row r="24" spans="1:6" ht="14.25">
      <c r="A24" s="16"/>
      <c r="B24" s="14"/>
      <c r="C24" s="14"/>
      <c r="D24" s="15"/>
      <c r="E24" s="15"/>
      <c r="F24" s="15"/>
    </row>
    <row r="25" spans="1:6" ht="15.75">
      <c r="A25" s="19" t="s">
        <v>71</v>
      </c>
      <c r="B25" s="57" t="s">
        <v>131</v>
      </c>
      <c r="C25" s="55" t="s">
        <v>44</v>
      </c>
      <c r="D25" s="181">
        <f>0.6*0.0056*(D26^2)*D27*1000</f>
        <v>95597.71442911474</v>
      </c>
      <c r="E25" s="61"/>
      <c r="F25" s="15"/>
    </row>
    <row r="26" spans="1:6" ht="16.5">
      <c r="A26" s="16" t="s">
        <v>277</v>
      </c>
      <c r="B26" s="14" t="s">
        <v>73</v>
      </c>
      <c r="C26" s="14" t="s">
        <v>67</v>
      </c>
      <c r="D26" s="15">
        <v>11.4</v>
      </c>
      <c r="E26" s="15"/>
      <c r="F26" s="15"/>
    </row>
    <row r="27" spans="1:6" ht="16.5">
      <c r="A27" s="75" t="s">
        <v>278</v>
      </c>
      <c r="B27" s="21" t="s">
        <v>74</v>
      </c>
      <c r="C27" s="21" t="s">
        <v>70</v>
      </c>
      <c r="D27" s="45">
        <f>(SQRT(D9)/2.44)*SQRT(D9)*3/1000</f>
        <v>218.92659836065573</v>
      </c>
      <c r="E27" s="15"/>
      <c r="F27" s="15"/>
    </row>
    <row r="28" spans="1:6" ht="14.25">
      <c r="A28" s="16"/>
      <c r="B28" s="14"/>
      <c r="C28" s="14"/>
      <c r="D28" s="15"/>
      <c r="E28" s="15"/>
      <c r="F28" s="15"/>
    </row>
    <row r="29" spans="1:6" ht="15.75">
      <c r="A29" s="19" t="s">
        <v>75</v>
      </c>
      <c r="B29" s="57" t="s">
        <v>130</v>
      </c>
      <c r="C29" s="55" t="s">
        <v>44</v>
      </c>
      <c r="D29" s="181">
        <f>1.1*(D30^0.6)*D31*4047*0.0001*1000*D32</f>
        <v>24965.945136805498</v>
      </c>
      <c r="E29" s="61"/>
      <c r="F29" s="15"/>
    </row>
    <row r="30" spans="1:6" ht="15.75">
      <c r="A30" s="9" t="s">
        <v>274</v>
      </c>
      <c r="B30" s="20" t="s">
        <v>65</v>
      </c>
      <c r="C30" s="14" t="s">
        <v>56</v>
      </c>
      <c r="D30" s="15">
        <f>D20</f>
        <v>6.9</v>
      </c>
      <c r="E30" s="15"/>
      <c r="F30" s="15"/>
    </row>
    <row r="31" spans="1:6" ht="15">
      <c r="A31" s="13" t="s">
        <v>77</v>
      </c>
      <c r="B31" s="14" t="s">
        <v>78</v>
      </c>
      <c r="C31" s="14" t="s">
        <v>79</v>
      </c>
      <c r="D31" s="15">
        <f>D51/5</f>
        <v>8.8</v>
      </c>
      <c r="E31" s="15"/>
      <c r="F31" s="15"/>
    </row>
    <row r="32" spans="1:6" ht="15">
      <c r="A32" s="13" t="s">
        <v>195</v>
      </c>
      <c r="B32" s="14" t="s">
        <v>62</v>
      </c>
      <c r="C32" s="18" t="s">
        <v>234</v>
      </c>
      <c r="D32" s="15">
        <v>2</v>
      </c>
      <c r="E32" s="15"/>
      <c r="F32" s="15"/>
    </row>
    <row r="33" ht="14.25">
      <c r="F33" s="15"/>
    </row>
    <row r="34" spans="1:6" ht="14.25">
      <c r="A34" s="64" t="s">
        <v>90</v>
      </c>
      <c r="B34" s="65"/>
      <c r="C34" s="65"/>
      <c r="D34" s="66"/>
      <c r="E34" s="143"/>
      <c r="F34" s="15"/>
    </row>
    <row r="35" spans="1:6" ht="15">
      <c r="A35" s="28" t="s">
        <v>380</v>
      </c>
      <c r="B35" s="58" t="s">
        <v>129</v>
      </c>
      <c r="C35" s="58" t="s">
        <v>44</v>
      </c>
      <c r="D35" s="62">
        <f>((2.6*((D38/12)^0.8)*((D39/3)^0.4))/((D40/0.2)^0.3))*((365-D41)/365)*281.9*D43</f>
        <v>580288.2899397393</v>
      </c>
      <c r="E35" s="185"/>
      <c r="F35" s="12"/>
    </row>
    <row r="36" spans="1:6" ht="15">
      <c r="A36" s="24" t="s">
        <v>296</v>
      </c>
      <c r="B36" s="25" t="s">
        <v>92</v>
      </c>
      <c r="C36" s="8" t="s">
        <v>60</v>
      </c>
      <c r="D36" s="12">
        <f>SQRT(D9)</f>
        <v>421.971918496954</v>
      </c>
      <c r="E36" s="12"/>
      <c r="F36" s="12"/>
    </row>
    <row r="37" spans="1:6" ht="15">
      <c r="A37" s="24" t="s">
        <v>93</v>
      </c>
      <c r="B37" s="25" t="s">
        <v>94</v>
      </c>
      <c r="C37" s="8" t="s">
        <v>60</v>
      </c>
      <c r="D37" s="12">
        <f>20*0.3048</f>
        <v>6.096</v>
      </c>
      <c r="E37" s="12"/>
      <c r="F37" s="12"/>
    </row>
    <row r="38" spans="1:6" ht="15">
      <c r="A38" s="13" t="s">
        <v>366</v>
      </c>
      <c r="B38" s="26" t="s">
        <v>65</v>
      </c>
      <c r="C38" s="25" t="s">
        <v>56</v>
      </c>
      <c r="D38" s="12">
        <f>D30</f>
        <v>6.9</v>
      </c>
      <c r="E38" s="12"/>
      <c r="F38" s="12"/>
    </row>
    <row r="39" spans="1:6" ht="15">
      <c r="A39" s="27" t="s">
        <v>96</v>
      </c>
      <c r="B39" s="8" t="s">
        <v>97</v>
      </c>
      <c r="C39" s="8" t="s">
        <v>98</v>
      </c>
      <c r="D39" s="12">
        <v>8</v>
      </c>
      <c r="E39" s="12"/>
      <c r="F39" s="12"/>
    </row>
    <row r="40" spans="1:6" ht="15">
      <c r="A40" s="24" t="s">
        <v>367</v>
      </c>
      <c r="B40" s="25" t="s">
        <v>281</v>
      </c>
      <c r="C40" s="25" t="s">
        <v>56</v>
      </c>
      <c r="D40" s="12">
        <v>1.5</v>
      </c>
      <c r="E40" s="12"/>
      <c r="F40" s="12"/>
    </row>
    <row r="41" spans="1:6" ht="15">
      <c r="A41" s="27" t="s">
        <v>282</v>
      </c>
      <c r="B41" s="25" t="s">
        <v>100</v>
      </c>
      <c r="C41" s="8" t="s">
        <v>101</v>
      </c>
      <c r="D41" s="263">
        <v>27</v>
      </c>
      <c r="E41" s="12"/>
      <c r="F41" s="12"/>
    </row>
    <row r="42" spans="1:6" ht="15">
      <c r="A42" s="27" t="s">
        <v>355</v>
      </c>
      <c r="B42" s="25" t="s">
        <v>356</v>
      </c>
      <c r="C42" s="8" t="s">
        <v>357</v>
      </c>
      <c r="D42" s="12">
        <v>30</v>
      </c>
      <c r="E42" s="12"/>
      <c r="F42" s="12"/>
    </row>
    <row r="43" spans="1:6" ht="15">
      <c r="A43" s="186" t="s">
        <v>295</v>
      </c>
      <c r="B43" s="30" t="s">
        <v>10</v>
      </c>
      <c r="C43" s="30" t="s">
        <v>70</v>
      </c>
      <c r="D43" s="46">
        <f>D42*(D36)*((52/2)*5)/1000</f>
        <v>1645.6904821381206</v>
      </c>
      <c r="E43" s="12"/>
      <c r="F43" s="12"/>
    </row>
    <row r="44" spans="1:6" ht="14.25">
      <c r="A44" s="16"/>
      <c r="B44" s="11"/>
      <c r="C44" s="11"/>
      <c r="D44" s="15"/>
      <c r="E44" s="15"/>
      <c r="F44" s="15"/>
    </row>
    <row r="45" spans="1:6" ht="15.75">
      <c r="A45" s="6" t="s">
        <v>284</v>
      </c>
      <c r="B45" s="57" t="s">
        <v>250</v>
      </c>
      <c r="C45" s="57" t="s">
        <v>197</v>
      </c>
      <c r="D45" s="61">
        <f>SUM(D35,D4,D12,D19,D25,D29,G4)/(G10*D9*31563000)</f>
        <v>4.863646194481343E-08</v>
      </c>
      <c r="E45" s="61"/>
      <c r="F45" s="15"/>
    </row>
    <row r="46" spans="1:6" ht="14.25">
      <c r="A46" s="16"/>
      <c r="B46" s="11"/>
      <c r="C46" s="11"/>
      <c r="D46" s="15"/>
      <c r="E46" s="15"/>
      <c r="F46" s="15"/>
    </row>
    <row r="47" spans="1:6" ht="15.75">
      <c r="A47" s="19" t="s">
        <v>124</v>
      </c>
      <c r="B47" s="55" t="s">
        <v>249</v>
      </c>
      <c r="C47" s="55" t="s">
        <v>127</v>
      </c>
      <c r="D47" s="56">
        <f>D48*(EXP(((LN(D51)-D49)^2/D50)))</f>
        <v>52.22885710203596</v>
      </c>
      <c r="E47" s="56"/>
      <c r="F47" s="15"/>
    </row>
    <row r="48" spans="1:6" ht="15">
      <c r="A48" s="13" t="s">
        <v>202</v>
      </c>
      <c r="B48" s="14" t="s">
        <v>33</v>
      </c>
      <c r="C48" s="18" t="s">
        <v>234</v>
      </c>
      <c r="D48" s="15">
        <v>12.1784</v>
      </c>
      <c r="E48" s="129" t="s">
        <v>310</v>
      </c>
      <c r="F48" s="15"/>
    </row>
    <row r="49" spans="1:6" ht="15">
      <c r="A49" s="13" t="s">
        <v>203</v>
      </c>
      <c r="B49" s="14" t="s">
        <v>34</v>
      </c>
      <c r="C49" s="18" t="s">
        <v>234</v>
      </c>
      <c r="D49" s="15">
        <v>24.5606</v>
      </c>
      <c r="E49" s="129" t="s">
        <v>310</v>
      </c>
      <c r="F49" s="47"/>
    </row>
    <row r="50" spans="1:6" ht="15">
      <c r="A50" s="13" t="s">
        <v>204</v>
      </c>
      <c r="B50" s="14" t="s">
        <v>35</v>
      </c>
      <c r="C50" s="18" t="s">
        <v>234</v>
      </c>
      <c r="D50" s="15">
        <v>296.4751</v>
      </c>
      <c r="E50" s="129" t="s">
        <v>310</v>
      </c>
      <c r="F50" s="47"/>
    </row>
    <row r="51" spans="1:6" ht="15">
      <c r="A51" s="13" t="s">
        <v>242</v>
      </c>
      <c r="B51" s="14" t="s">
        <v>243</v>
      </c>
      <c r="C51" s="14" t="s">
        <v>205</v>
      </c>
      <c r="D51" s="15">
        <f>Risk_Calculations!D57</f>
        <v>44</v>
      </c>
      <c r="E51" s="267" t="s">
        <v>26</v>
      </c>
      <c r="F51" s="47"/>
    </row>
    <row r="52" spans="1:6" ht="14.25">
      <c r="A52" s="19"/>
      <c r="B52" s="14"/>
      <c r="C52" s="14"/>
      <c r="D52" s="15"/>
      <c r="E52" s="15"/>
      <c r="F52" s="47"/>
    </row>
    <row r="53" spans="1:6" ht="15">
      <c r="A53" s="76" t="s">
        <v>382</v>
      </c>
      <c r="B53" s="77" t="s">
        <v>136</v>
      </c>
      <c r="C53" s="77" t="s">
        <v>89</v>
      </c>
      <c r="D53" s="78">
        <f>D47*(1/D45)</f>
        <v>1073862181.0381424</v>
      </c>
      <c r="E53" s="144"/>
      <c r="F53" s="7"/>
    </row>
    <row r="54" spans="1:6" ht="15">
      <c r="A54" s="79" t="s">
        <v>383</v>
      </c>
      <c r="B54" s="123" t="s">
        <v>102</v>
      </c>
      <c r="C54" s="80" t="s">
        <v>220</v>
      </c>
      <c r="D54" s="81">
        <f>1/D53</f>
        <v>9.312181932259341E-10</v>
      </c>
      <c r="E54" s="144"/>
      <c r="F54" s="48"/>
    </row>
    <row r="55" spans="1:6" ht="14.25">
      <c r="A55" s="32" t="s">
        <v>216</v>
      </c>
      <c r="B55" s="8"/>
      <c r="C55" s="8"/>
      <c r="D55" s="7"/>
      <c r="E55" s="15"/>
      <c r="F55" s="49"/>
    </row>
    <row r="56" spans="1:6" ht="14.25">
      <c r="A56" s="33" t="s">
        <v>106</v>
      </c>
      <c r="B56" s="8"/>
      <c r="C56" s="8"/>
      <c r="D56" s="7"/>
      <c r="E56" s="15"/>
      <c r="F56" s="49"/>
    </row>
    <row r="57" spans="1:6" ht="15.75">
      <c r="A57" s="33" t="s">
        <v>211</v>
      </c>
      <c r="B57" s="8"/>
      <c r="C57" s="8"/>
      <c r="D57" s="7"/>
      <c r="E57" s="15"/>
      <c r="F57" s="48"/>
    </row>
    <row r="58" spans="1:6" ht="15">
      <c r="A58" s="125" t="s">
        <v>217</v>
      </c>
      <c r="B58" s="34"/>
      <c r="C58" s="35"/>
      <c r="D58" s="48"/>
      <c r="E58" s="48"/>
      <c r="F58" s="7"/>
    </row>
    <row r="59" spans="1:6" ht="14.25">
      <c r="A59" s="126" t="s">
        <v>218</v>
      </c>
      <c r="B59" s="36"/>
      <c r="C59" s="37"/>
      <c r="D59" s="49"/>
      <c r="E59" s="49"/>
      <c r="F59" s="7"/>
    </row>
    <row r="60" spans="1:6" ht="14.25">
      <c r="A60" s="125" t="s">
        <v>362</v>
      </c>
      <c r="B60" s="36"/>
      <c r="C60" s="37"/>
      <c r="D60" s="49"/>
      <c r="E60" s="49"/>
      <c r="F60" s="7"/>
    </row>
    <row r="61" spans="1:6" ht="15">
      <c r="A61" s="125" t="s">
        <v>318</v>
      </c>
      <c r="B61" s="34"/>
      <c r="C61" s="35"/>
      <c r="D61" s="48"/>
      <c r="E61" s="48"/>
      <c r="F61" s="7"/>
    </row>
    <row r="62" spans="1:6" ht="15.75">
      <c r="A62" s="32" t="s">
        <v>214</v>
      </c>
      <c r="B62" s="8"/>
      <c r="C62" s="8"/>
      <c r="D62" s="7"/>
      <c r="E62" s="7"/>
      <c r="F62" s="7"/>
    </row>
    <row r="63" spans="1:6" ht="14.25">
      <c r="A63" s="127" t="s">
        <v>360</v>
      </c>
      <c r="B63" s="8"/>
      <c r="C63" s="8"/>
      <c r="D63" s="7"/>
      <c r="E63" s="7"/>
      <c r="F63" s="7"/>
    </row>
    <row r="64" spans="1:6" ht="14.25">
      <c r="A64" s="127" t="s">
        <v>361</v>
      </c>
      <c r="B64" s="8"/>
      <c r="C64" s="8"/>
      <c r="D64" s="7"/>
      <c r="E64" s="7"/>
      <c r="F64" s="7"/>
    </row>
    <row r="65" spans="1:6" ht="14.25">
      <c r="A65" s="32" t="s">
        <v>215</v>
      </c>
      <c r="B65" s="8"/>
      <c r="C65" s="8"/>
      <c r="D65" s="7"/>
      <c r="E65" s="7"/>
      <c r="F65" s="7"/>
    </row>
    <row r="66" spans="1:6" ht="15.75">
      <c r="A66" s="32" t="s">
        <v>228</v>
      </c>
      <c r="B66" s="8"/>
      <c r="C66" s="8"/>
      <c r="D66" s="7"/>
      <c r="E66" s="7"/>
      <c r="F66" s="7"/>
    </row>
    <row r="67" spans="1:6" ht="15.75">
      <c r="A67" s="32" t="s">
        <v>229</v>
      </c>
      <c r="B67" s="8"/>
      <c r="C67" s="8"/>
      <c r="D67" s="7"/>
      <c r="E67" s="7"/>
      <c r="F67" s="50"/>
    </row>
    <row r="68" spans="1:6" ht="15.75">
      <c r="A68" s="32" t="s">
        <v>230</v>
      </c>
      <c r="B68" s="8"/>
      <c r="C68" s="8"/>
      <c r="D68" s="7"/>
      <c r="E68" s="7"/>
      <c r="F68" s="7"/>
    </row>
    <row r="69" spans="1:6" ht="15.75">
      <c r="A69" s="32" t="s">
        <v>231</v>
      </c>
      <c r="B69" s="8"/>
      <c r="C69" s="8"/>
      <c r="D69" s="7"/>
      <c r="E69" s="7"/>
      <c r="F69" s="7"/>
    </row>
    <row r="70" spans="1:6" ht="15">
      <c r="A70" s="32" t="s">
        <v>264</v>
      </c>
      <c r="B70" s="8"/>
      <c r="C70" s="8"/>
      <c r="D70" s="7"/>
      <c r="E70" s="7"/>
      <c r="F70" s="7"/>
    </row>
    <row r="71" spans="1:6" ht="15.75">
      <c r="A71" s="32" t="s">
        <v>265</v>
      </c>
      <c r="B71" s="8"/>
      <c r="C71" s="8"/>
      <c r="D71" s="50"/>
      <c r="E71" s="50"/>
      <c r="F71" s="7"/>
    </row>
    <row r="72" spans="1:6" ht="14.25">
      <c r="A72" s="32" t="s">
        <v>297</v>
      </c>
      <c r="B72" s="8"/>
      <c r="C72" s="8"/>
      <c r="D72" s="7"/>
      <c r="E72" s="7"/>
      <c r="F72" s="7"/>
    </row>
    <row r="73" spans="1:6" ht="15.75">
      <c r="A73" s="38" t="s">
        <v>368</v>
      </c>
      <c r="B73" s="8"/>
      <c r="C73" s="8"/>
      <c r="D73" s="7"/>
      <c r="E73" s="7"/>
      <c r="F73" s="51"/>
    </row>
    <row r="74" spans="1:6" ht="16.5">
      <c r="A74" s="32" t="s">
        <v>294</v>
      </c>
      <c r="B74" s="8"/>
      <c r="C74" s="8"/>
      <c r="D74" s="7"/>
      <c r="E74" s="7"/>
      <c r="F74" s="51"/>
    </row>
    <row r="75" spans="1:5" ht="16.5">
      <c r="A75" s="40" t="s">
        <v>379</v>
      </c>
      <c r="B75" s="41"/>
      <c r="C75" s="41"/>
      <c r="D75" s="51"/>
      <c r="E75" s="51"/>
    </row>
    <row r="76" spans="1:5" ht="16.5">
      <c r="A76" s="32" t="s">
        <v>381</v>
      </c>
      <c r="B76" s="41"/>
      <c r="C76" s="41"/>
      <c r="D76" s="51"/>
      <c r="E76" s="51"/>
    </row>
    <row r="77" spans="1:6" ht="15">
      <c r="A77" s="32" t="s">
        <v>314</v>
      </c>
      <c r="B77" s="8"/>
      <c r="C77" s="8"/>
      <c r="D77" s="7"/>
      <c r="E77" s="7"/>
      <c r="F77"/>
    </row>
  </sheetData>
  <sheetProtection/>
  <mergeCells count="1">
    <mergeCell ref="A1:G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24"/>
  <sheetViews>
    <sheetView zoomScale="125" zoomScaleNormal="125" zoomScalePageLayoutView="0" workbookViewId="0" topLeftCell="A1">
      <selection activeCell="A1" sqref="A1:F1"/>
    </sheetView>
  </sheetViews>
  <sheetFormatPr defaultColWidth="11.421875" defaultRowHeight="15"/>
  <cols>
    <col min="1" max="1" width="85.421875" style="0" bestFit="1" customWidth="1"/>
    <col min="2" max="2" width="9.421875" style="0" bestFit="1" customWidth="1"/>
    <col min="3" max="3" width="16.28125" style="0" bestFit="1" customWidth="1"/>
    <col min="4" max="4" width="8.421875" style="52" bestFit="1" customWidth="1"/>
    <col min="5" max="5" width="46.140625" style="52" bestFit="1" customWidth="1"/>
  </cols>
  <sheetData>
    <row r="1" spans="1:6" s="1" customFormat="1" ht="18">
      <c r="A1" s="423" t="s">
        <v>226</v>
      </c>
      <c r="B1" s="423"/>
      <c r="C1" s="423"/>
      <c r="D1" s="423"/>
      <c r="E1" s="423"/>
      <c r="F1" s="423"/>
    </row>
    <row r="2" spans="1:5" ht="14.25">
      <c r="A2" s="2" t="s">
        <v>37</v>
      </c>
      <c r="B2" s="3" t="s">
        <v>40</v>
      </c>
      <c r="C2" s="3" t="s">
        <v>36</v>
      </c>
      <c r="D2" s="42" t="s">
        <v>38</v>
      </c>
      <c r="E2" s="53"/>
    </row>
    <row r="3" spans="1:5" ht="14.25">
      <c r="A3" s="4" t="s">
        <v>41</v>
      </c>
      <c r="B3" s="5"/>
      <c r="C3" s="5"/>
      <c r="D3" s="43"/>
      <c r="E3" s="43"/>
    </row>
    <row r="4" spans="1:5" ht="15.75">
      <c r="A4" s="9" t="s">
        <v>299</v>
      </c>
      <c r="B4" s="7" t="s">
        <v>233</v>
      </c>
      <c r="C4" s="10" t="s">
        <v>234</v>
      </c>
      <c r="D4" s="54">
        <v>0.5</v>
      </c>
      <c r="E4" s="44"/>
    </row>
    <row r="5" spans="1:5" ht="16.5">
      <c r="A5" s="9" t="s">
        <v>305</v>
      </c>
      <c r="B5" s="11" t="s">
        <v>236</v>
      </c>
      <c r="C5" s="11" t="s">
        <v>237</v>
      </c>
      <c r="D5" s="263">
        <v>4</v>
      </c>
      <c r="E5" s="12"/>
    </row>
    <row r="6" spans="1:5" ht="16.5">
      <c r="A6" s="9" t="s">
        <v>300</v>
      </c>
      <c r="B6" s="7" t="s">
        <v>239</v>
      </c>
      <c r="C6" s="8" t="s">
        <v>237</v>
      </c>
      <c r="D6" s="44">
        <v>11.32</v>
      </c>
      <c r="E6" s="44"/>
    </row>
    <row r="7" spans="1:5" ht="16.5">
      <c r="A7" s="9" t="s">
        <v>301</v>
      </c>
      <c r="B7" s="7" t="s">
        <v>241</v>
      </c>
      <c r="C7" s="10" t="s">
        <v>234</v>
      </c>
      <c r="D7" s="44">
        <v>0.194</v>
      </c>
      <c r="E7" s="44"/>
    </row>
    <row r="8" spans="1:5" ht="14.25">
      <c r="A8" s="16"/>
      <c r="B8" s="11"/>
      <c r="C8" s="11"/>
      <c r="D8" s="15"/>
      <c r="E8" s="15"/>
    </row>
    <row r="9" spans="1:5" ht="15.75">
      <c r="A9" s="19" t="s">
        <v>308</v>
      </c>
      <c r="B9" s="55" t="s">
        <v>248</v>
      </c>
      <c r="C9" s="55" t="s">
        <v>127</v>
      </c>
      <c r="D9" s="56">
        <f>D10*(EXP(((LN(D13)-D11)^2/D12)))</f>
        <v>40.78437950222186</v>
      </c>
      <c r="E9" s="15"/>
    </row>
    <row r="10" spans="1:5" ht="15">
      <c r="A10" s="13" t="s">
        <v>302</v>
      </c>
      <c r="B10" s="14" t="s">
        <v>33</v>
      </c>
      <c r="C10" s="18" t="s">
        <v>234</v>
      </c>
      <c r="D10" s="15">
        <f>'QC Equation Constants'!B18</f>
        <v>13.3093</v>
      </c>
      <c r="E10" s="129" t="s">
        <v>310</v>
      </c>
    </row>
    <row r="11" spans="1:5" ht="15">
      <c r="A11" s="13" t="s">
        <v>303</v>
      </c>
      <c r="B11" s="14" t="s">
        <v>34</v>
      </c>
      <c r="C11" s="18" t="s">
        <v>234</v>
      </c>
      <c r="D11" s="15">
        <f>'QC Equation Constants'!C18</f>
        <v>19.8387</v>
      </c>
      <c r="E11" s="129" t="s">
        <v>310</v>
      </c>
    </row>
    <row r="12" spans="1:5" ht="15">
      <c r="A12" s="13" t="s">
        <v>304</v>
      </c>
      <c r="B12" s="14" t="s">
        <v>35</v>
      </c>
      <c r="C12" s="18" t="s">
        <v>234</v>
      </c>
      <c r="D12" s="15">
        <f>'QC Equation Constants'!D18</f>
        <v>230.1652</v>
      </c>
      <c r="E12" s="129" t="s">
        <v>310</v>
      </c>
    </row>
    <row r="13" spans="1:5" ht="15">
      <c r="A13" s="13" t="s">
        <v>307</v>
      </c>
      <c r="B13" s="14" t="s">
        <v>243</v>
      </c>
      <c r="C13" s="14" t="s">
        <v>205</v>
      </c>
      <c r="D13" s="15">
        <f>Risk_Calculations!D57</f>
        <v>44</v>
      </c>
      <c r="E13" s="267" t="s">
        <v>26</v>
      </c>
    </row>
    <row r="14" spans="1:5" ht="14.25">
      <c r="A14" s="19"/>
      <c r="B14" s="14"/>
      <c r="C14" s="14"/>
      <c r="D14" s="15"/>
      <c r="E14" s="7"/>
    </row>
    <row r="15" spans="1:5" ht="15">
      <c r="A15" s="76" t="s">
        <v>311</v>
      </c>
      <c r="B15" s="77" t="s">
        <v>223</v>
      </c>
      <c r="C15" s="77" t="s">
        <v>89</v>
      </c>
      <c r="D15" s="78">
        <f>D9*(3600/(0.036*(1-D4)*((D5/D6)^3)*D7))</f>
        <v>952974833.0895107</v>
      </c>
      <c r="E15" s="7"/>
    </row>
    <row r="16" spans="1:5" ht="15">
      <c r="A16" s="79" t="s">
        <v>312</v>
      </c>
      <c r="B16" s="80" t="s">
        <v>103</v>
      </c>
      <c r="C16" s="80" t="s">
        <v>220</v>
      </c>
      <c r="D16" s="81">
        <f>1/D15</f>
        <v>1.0493456545521097E-09</v>
      </c>
      <c r="E16" s="48"/>
    </row>
    <row r="17" spans="1:5" ht="14.25">
      <c r="A17" s="32" t="s">
        <v>298</v>
      </c>
      <c r="B17" s="8"/>
      <c r="C17" s="8"/>
      <c r="D17" s="7"/>
      <c r="E17" s="48"/>
    </row>
    <row r="18" spans="1:5" ht="15">
      <c r="A18" s="33" t="s">
        <v>106</v>
      </c>
      <c r="B18" s="34"/>
      <c r="C18" s="35"/>
      <c r="D18" s="48"/>
      <c r="E18" s="7"/>
    </row>
    <row r="19" spans="1:5" ht="14.25">
      <c r="A19" s="126" t="s">
        <v>306</v>
      </c>
      <c r="B19" s="36"/>
      <c r="C19" s="37"/>
      <c r="D19" s="49"/>
      <c r="E19" s="7"/>
    </row>
    <row r="20" spans="1:5" ht="14.25">
      <c r="A20" s="125" t="s">
        <v>363</v>
      </c>
      <c r="B20" s="36"/>
      <c r="C20" s="37"/>
      <c r="D20" s="49"/>
      <c r="E20" s="7"/>
    </row>
    <row r="21" spans="1:5" ht="15.75">
      <c r="A21" s="32" t="s">
        <v>309</v>
      </c>
      <c r="B21" s="8"/>
      <c r="C21" s="8"/>
      <c r="D21" s="50"/>
      <c r="E21" s="7"/>
    </row>
    <row r="22" spans="1:4" ht="16.5">
      <c r="A22" s="40" t="s">
        <v>120</v>
      </c>
      <c r="B22" s="41"/>
      <c r="C22" s="41"/>
      <c r="D22" s="51"/>
    </row>
    <row r="23" spans="1:4" ht="16.5">
      <c r="A23" s="32" t="s">
        <v>317</v>
      </c>
      <c r="B23" s="41"/>
      <c r="C23" s="41"/>
      <c r="D23" s="51"/>
    </row>
    <row r="24" spans="1:4" ht="15">
      <c r="A24" s="32" t="s">
        <v>313</v>
      </c>
      <c r="B24" s="8"/>
      <c r="C24" s="8"/>
      <c r="D24" s="7"/>
    </row>
  </sheetData>
  <sheetProtection/>
  <mergeCells count="1">
    <mergeCell ref="A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F1"/>
    </sheetView>
  </sheetViews>
  <sheetFormatPr defaultColWidth="11.421875" defaultRowHeight="15"/>
  <cols>
    <col min="1" max="1" width="84.57421875" style="0" customWidth="1"/>
    <col min="2" max="2" width="13.28125" style="0" bestFit="1" customWidth="1"/>
    <col min="3" max="3" width="16.28125" style="0" bestFit="1" customWidth="1"/>
    <col min="4" max="4" width="9.28125" style="52" customWidth="1"/>
    <col min="5" max="5" width="46.140625" style="52" bestFit="1" customWidth="1"/>
  </cols>
  <sheetData>
    <row r="1" spans="5:8" ht="7.5" customHeight="1">
      <c r="E1" s="305"/>
      <c r="F1" s="86"/>
      <c r="G1" s="86"/>
      <c r="H1" s="86"/>
    </row>
    <row r="2" spans="1:8" s="1" customFormat="1" ht="18">
      <c r="A2" s="424" t="s">
        <v>423</v>
      </c>
      <c r="B2" s="424"/>
      <c r="C2" s="424"/>
      <c r="D2" s="424"/>
      <c r="E2" s="304"/>
      <c r="F2" s="304"/>
      <c r="G2" s="84"/>
      <c r="H2" s="84"/>
    </row>
    <row r="3" spans="1:8" s="1" customFormat="1" ht="18">
      <c r="A3" s="304"/>
      <c r="B3" s="304"/>
      <c r="C3" s="304"/>
      <c r="D3" s="304"/>
      <c r="E3" s="303"/>
      <c r="F3" s="303"/>
      <c r="G3" s="84"/>
      <c r="H3" s="84"/>
    </row>
    <row r="4" spans="1:8" s="1" customFormat="1" ht="18">
      <c r="A4" s="304"/>
      <c r="B4" s="304"/>
      <c r="C4" s="304"/>
      <c r="D4" s="304"/>
      <c r="E4" s="303"/>
      <c r="F4" s="303"/>
      <c r="G4" s="84"/>
      <c r="H4" s="84"/>
    </row>
    <row r="5" spans="1:8" s="1" customFormat="1" ht="9.75" customHeight="1">
      <c r="A5" s="302"/>
      <c r="B5" s="302"/>
      <c r="C5" s="302"/>
      <c r="D5" s="302"/>
      <c r="E5" s="303"/>
      <c r="F5" s="303"/>
      <c r="G5" s="84"/>
      <c r="H5" s="84"/>
    </row>
    <row r="6" spans="1:8" ht="14.25">
      <c r="A6" s="277" t="s">
        <v>37</v>
      </c>
      <c r="B6" s="278" t="s">
        <v>40</v>
      </c>
      <c r="C6" s="278" t="s">
        <v>36</v>
      </c>
      <c r="D6" s="279" t="s">
        <v>38</v>
      </c>
      <c r="E6" s="53"/>
      <c r="F6" s="86"/>
      <c r="G6" s="86"/>
      <c r="H6" s="86"/>
    </row>
    <row r="7" spans="1:5" ht="14.25">
      <c r="A7" s="280" t="s">
        <v>41</v>
      </c>
      <c r="B7" s="281"/>
      <c r="C7" s="281"/>
      <c r="D7" s="282"/>
      <c r="E7" s="53"/>
    </row>
    <row r="8" spans="1:5" ht="15.75">
      <c r="A8" s="283" t="s">
        <v>299</v>
      </c>
      <c r="B8" s="284" t="s">
        <v>233</v>
      </c>
      <c r="C8" s="285" t="s">
        <v>234</v>
      </c>
      <c r="D8" s="286">
        <v>0.5</v>
      </c>
      <c r="E8" s="44"/>
    </row>
    <row r="9" spans="1:5" ht="16.5">
      <c r="A9" s="283" t="s">
        <v>305</v>
      </c>
      <c r="B9" s="287" t="s">
        <v>236</v>
      </c>
      <c r="C9" s="287" t="s">
        <v>237</v>
      </c>
      <c r="D9" s="288">
        <v>4.1</v>
      </c>
      <c r="E9" s="12"/>
    </row>
    <row r="10" spans="1:5" ht="16.5">
      <c r="A10" s="283" t="s">
        <v>300</v>
      </c>
      <c r="B10" s="284" t="s">
        <v>239</v>
      </c>
      <c r="C10" s="289" t="s">
        <v>237</v>
      </c>
      <c r="D10" s="290">
        <v>11.32</v>
      </c>
      <c r="E10" s="44"/>
    </row>
    <row r="11" spans="1:5" ht="16.5">
      <c r="A11" s="283" t="s">
        <v>301</v>
      </c>
      <c r="B11" s="284" t="s">
        <v>241</v>
      </c>
      <c r="C11" s="285" t="s">
        <v>234</v>
      </c>
      <c r="D11" s="290">
        <v>0.194</v>
      </c>
      <c r="E11" s="44"/>
    </row>
    <row r="12" spans="1:5" ht="14.25">
      <c r="A12" s="274"/>
      <c r="B12" s="11"/>
      <c r="C12" s="11"/>
      <c r="D12" s="275"/>
      <c r="E12" s="15"/>
    </row>
    <row r="13" spans="1:5" ht="15.75">
      <c r="A13" s="291" t="s">
        <v>308</v>
      </c>
      <c r="B13" s="292" t="s">
        <v>248</v>
      </c>
      <c r="C13" s="292" t="s">
        <v>127</v>
      </c>
      <c r="D13" s="293">
        <f>D14*(EXP(((LN(D17)-D15)^2/D16)))</f>
        <v>40.78437950222186</v>
      </c>
      <c r="E13" s="15"/>
    </row>
    <row r="14" spans="1:5" ht="15">
      <c r="A14" s="294" t="s">
        <v>302</v>
      </c>
      <c r="B14" s="295" t="s">
        <v>33</v>
      </c>
      <c r="C14" s="296" t="s">
        <v>234</v>
      </c>
      <c r="D14" s="297">
        <f>'QC Equation Constants'!B18</f>
        <v>13.3093</v>
      </c>
      <c r="E14" s="272" t="s">
        <v>310</v>
      </c>
    </row>
    <row r="15" spans="1:5" ht="15">
      <c r="A15" s="294" t="s">
        <v>303</v>
      </c>
      <c r="B15" s="295" t="s">
        <v>34</v>
      </c>
      <c r="C15" s="296" t="s">
        <v>234</v>
      </c>
      <c r="D15" s="297">
        <f>'QC Equation Constants'!C18</f>
        <v>19.8387</v>
      </c>
      <c r="E15" s="272" t="s">
        <v>310</v>
      </c>
    </row>
    <row r="16" spans="1:5" ht="15">
      <c r="A16" s="294" t="s">
        <v>304</v>
      </c>
      <c r="B16" s="295" t="s">
        <v>35</v>
      </c>
      <c r="C16" s="296" t="s">
        <v>234</v>
      </c>
      <c r="D16" s="297">
        <f>'QC Equation Constants'!D18</f>
        <v>230.1652</v>
      </c>
      <c r="E16" s="272" t="s">
        <v>310</v>
      </c>
    </row>
    <row r="17" spans="1:5" ht="15">
      <c r="A17" s="294" t="s">
        <v>307</v>
      </c>
      <c r="B17" s="295" t="s">
        <v>243</v>
      </c>
      <c r="C17" s="295" t="s">
        <v>205</v>
      </c>
      <c r="D17" s="297">
        <f>Risk_Calculations!D57</f>
        <v>44</v>
      </c>
      <c r="E17" s="273" t="s">
        <v>26</v>
      </c>
    </row>
    <row r="18" spans="1:4" ht="14.25">
      <c r="A18" s="276"/>
      <c r="B18" s="14"/>
      <c r="C18" s="14"/>
      <c r="D18" s="275"/>
    </row>
    <row r="19" spans="1:5" ht="15">
      <c r="A19" s="298" t="s">
        <v>109</v>
      </c>
      <c r="B19" s="299" t="s">
        <v>316</v>
      </c>
      <c r="C19" s="299" t="s">
        <v>89</v>
      </c>
      <c r="D19" s="300">
        <f>D13*(3600/(0.036*(1-D8)*((D9/D10)^3)*D11))</f>
        <v>884931868.6282659</v>
      </c>
      <c r="E19" s="7"/>
    </row>
    <row r="20" spans="1:5" ht="15">
      <c r="A20" s="298" t="s">
        <v>312</v>
      </c>
      <c r="B20" s="299" t="s">
        <v>324</v>
      </c>
      <c r="C20" s="299" t="s">
        <v>220</v>
      </c>
      <c r="D20" s="300">
        <f>1/D19</f>
        <v>1.1300304977716549E-09</v>
      </c>
      <c r="E20" s="48"/>
    </row>
    <row r="21" spans="1:5" ht="14.25">
      <c r="A21" s="32" t="s">
        <v>420</v>
      </c>
      <c r="B21" s="8"/>
      <c r="C21" s="8"/>
      <c r="D21" s="7"/>
      <c r="E21" s="48"/>
    </row>
    <row r="22" spans="1:5" ht="15">
      <c r="A22" s="270" t="s">
        <v>106</v>
      </c>
      <c r="B22" s="34"/>
      <c r="C22" s="35"/>
      <c r="D22" s="48"/>
      <c r="E22" s="7"/>
    </row>
    <row r="23" spans="1:5" ht="14.25">
      <c r="A23" s="271" t="s">
        <v>421</v>
      </c>
      <c r="B23" s="36"/>
      <c r="C23" s="37"/>
      <c r="D23" s="49"/>
      <c r="E23" s="7"/>
    </row>
    <row r="24" spans="1:5" ht="14.25">
      <c r="A24" s="39" t="s">
        <v>422</v>
      </c>
      <c r="B24" s="36"/>
      <c r="C24" s="37"/>
      <c r="D24" s="49"/>
      <c r="E24" s="7"/>
    </row>
    <row r="25" spans="1:5" ht="15.75">
      <c r="A25" s="39" t="s">
        <v>424</v>
      </c>
      <c r="B25" s="8"/>
      <c r="C25" s="8"/>
      <c r="D25" s="50"/>
      <c r="E25" s="7"/>
    </row>
    <row r="26" spans="1:4" ht="16.5">
      <c r="A26" s="40" t="s">
        <v>120</v>
      </c>
      <c r="B26" s="41"/>
      <c r="C26" s="41"/>
      <c r="D26" s="51"/>
    </row>
    <row r="27" spans="1:4" ht="16.5">
      <c r="A27" s="32" t="s">
        <v>425</v>
      </c>
      <c r="B27" s="41"/>
      <c r="C27" s="41"/>
      <c r="D27" s="51"/>
    </row>
    <row r="28" spans="1:4" ht="15">
      <c r="A28" s="32" t="s">
        <v>384</v>
      </c>
      <c r="B28" s="8"/>
      <c r="C28" s="8"/>
      <c r="D28" s="7"/>
    </row>
    <row r="30" ht="14.25">
      <c r="A30" s="301"/>
    </row>
  </sheetData>
  <sheetProtection/>
  <mergeCells count="1">
    <mergeCell ref="A2:D2"/>
  </mergeCells>
  <printOptions horizontalCentered="1"/>
  <pageMargins left="0.5" right="0.5" top="0.5" bottom="0.5" header="0.5" footer="0.5"/>
  <pageSetup horizontalDpi="1200" verticalDpi="1200" orientation="landscape" r:id="rId1"/>
  <headerFooter alignWithMargins="0">
    <oddHeader>&amp;C&amp;"Times New Roman,Bold"&amp;10TABLE 13
HUMAN HEALTH RISK ASSESSMENT AND CLOSURE REPORT FOR GALLERIA NORTH-SCHOOL SITE SUB-AREA
BMI COMMON AREAS (EASTSIDE), CLARK COUNTY, NEVADA
(Page &amp;P of &amp;N)</oddHeader>
  </headerFooter>
</worksheet>
</file>

<file path=xl/worksheets/sheet6.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11.421875" defaultRowHeight="15"/>
  <cols>
    <col min="1" max="1" width="21.7109375" style="0" bestFit="1" customWidth="1"/>
    <col min="2" max="4" width="10.421875" style="0" bestFit="1" customWidth="1"/>
    <col min="5" max="5" width="11.421875" style="0" customWidth="1"/>
    <col min="6" max="6" width="21.7109375" style="0" bestFit="1" customWidth="1"/>
    <col min="7" max="9" width="10.421875" style="0" bestFit="1" customWidth="1"/>
  </cols>
  <sheetData>
    <row r="1" spans="1:9" ht="14.25">
      <c r="A1" s="150" t="s">
        <v>29</v>
      </c>
      <c r="B1" s="150"/>
      <c r="C1" s="150"/>
      <c r="D1" s="150"/>
      <c r="F1" s="150" t="s">
        <v>28</v>
      </c>
      <c r="G1" s="150"/>
      <c r="H1" s="150"/>
      <c r="I1" s="150"/>
    </row>
    <row r="2" spans="1:9" ht="16.5">
      <c r="A2" s="425" t="s">
        <v>290</v>
      </c>
      <c r="B2" s="425"/>
      <c r="C2" s="425"/>
      <c r="D2" s="425"/>
      <c r="F2" s="425" t="s">
        <v>291</v>
      </c>
      <c r="G2" s="425"/>
      <c r="H2" s="425"/>
      <c r="I2" s="425"/>
    </row>
    <row r="3" spans="1:9" ht="15" thickBot="1">
      <c r="A3" s="111" t="s">
        <v>194</v>
      </c>
      <c r="B3" s="111" t="s">
        <v>266</v>
      </c>
      <c r="C3" s="111" t="s">
        <v>267</v>
      </c>
      <c r="D3" s="111" t="s">
        <v>268</v>
      </c>
      <c r="F3" s="111" t="s">
        <v>194</v>
      </c>
      <c r="G3" s="111" t="s">
        <v>266</v>
      </c>
      <c r="H3" s="111" t="s">
        <v>267</v>
      </c>
      <c r="I3" s="111" t="s">
        <v>268</v>
      </c>
    </row>
    <row r="4" spans="1:9" ht="15" thickTop="1">
      <c r="A4" t="s">
        <v>251</v>
      </c>
      <c r="B4">
        <v>14.9421</v>
      </c>
      <c r="C4">
        <v>17.9869</v>
      </c>
      <c r="D4">
        <v>205.1782</v>
      </c>
      <c r="F4" t="s">
        <v>251</v>
      </c>
      <c r="G4">
        <v>17.8252</v>
      </c>
      <c r="H4">
        <v>22.8701</v>
      </c>
      <c r="I4">
        <v>274.1261</v>
      </c>
    </row>
    <row r="5" spans="1:9" ht="14.25">
      <c r="A5" t="s">
        <v>252</v>
      </c>
      <c r="B5">
        <v>14.8349</v>
      </c>
      <c r="C5">
        <v>17.9259</v>
      </c>
      <c r="D5">
        <v>204.1516</v>
      </c>
      <c r="F5" t="s">
        <v>252</v>
      </c>
      <c r="G5">
        <v>15.8125</v>
      </c>
      <c r="H5">
        <v>23.7527</v>
      </c>
      <c r="I5">
        <v>288.6108</v>
      </c>
    </row>
    <row r="6" spans="1:9" ht="14.25">
      <c r="A6" t="s">
        <v>253</v>
      </c>
      <c r="B6">
        <v>15.0235</v>
      </c>
      <c r="C6">
        <v>18.2526</v>
      </c>
      <c r="D6">
        <v>207.3387</v>
      </c>
      <c r="F6" t="s">
        <v>253</v>
      </c>
      <c r="G6">
        <v>18.8928</v>
      </c>
      <c r="H6">
        <v>22.2274</v>
      </c>
      <c r="I6">
        <v>268.2849</v>
      </c>
    </row>
    <row r="7" spans="1:9" ht="14.25">
      <c r="A7" t="s">
        <v>254</v>
      </c>
      <c r="B7">
        <v>11.3161</v>
      </c>
      <c r="C7">
        <v>19.6437</v>
      </c>
      <c r="D7">
        <v>224.8172</v>
      </c>
      <c r="F7" t="s">
        <v>254</v>
      </c>
      <c r="G7">
        <v>12.2294</v>
      </c>
      <c r="H7">
        <v>23.8156</v>
      </c>
      <c r="I7">
        <v>286.4807</v>
      </c>
    </row>
    <row r="8" spans="1:9" ht="14.25">
      <c r="A8" t="s">
        <v>169</v>
      </c>
      <c r="B8">
        <v>7.1414</v>
      </c>
      <c r="C8">
        <v>31.1794</v>
      </c>
      <c r="D8">
        <v>382.6078</v>
      </c>
      <c r="F8" t="s">
        <v>169</v>
      </c>
      <c r="G8">
        <v>18.4275</v>
      </c>
      <c r="H8">
        <v>22.9015</v>
      </c>
      <c r="I8">
        <v>280.6949</v>
      </c>
    </row>
    <row r="9" spans="1:9" ht="14.25">
      <c r="A9" t="s">
        <v>170</v>
      </c>
      <c r="B9">
        <v>13.7674</v>
      </c>
      <c r="C9">
        <v>18.0441</v>
      </c>
      <c r="D9">
        <v>204.8689</v>
      </c>
      <c r="F9" t="s">
        <v>170</v>
      </c>
      <c r="G9">
        <v>19.2904</v>
      </c>
      <c r="H9">
        <v>21.9679</v>
      </c>
      <c r="I9">
        <v>265.0506</v>
      </c>
    </row>
    <row r="10" spans="1:9" ht="14.25">
      <c r="A10" t="s">
        <v>171</v>
      </c>
      <c r="B10">
        <v>16.8653</v>
      </c>
      <c r="C10">
        <v>18.7848</v>
      </c>
      <c r="D10">
        <v>215.0624</v>
      </c>
      <c r="F10" t="s">
        <v>171</v>
      </c>
      <c r="G10">
        <v>20.1837</v>
      </c>
      <c r="H10">
        <v>21.6367</v>
      </c>
      <c r="I10">
        <v>264.0685</v>
      </c>
    </row>
    <row r="11" spans="1:9" ht="14.25">
      <c r="A11" t="s">
        <v>172</v>
      </c>
      <c r="B11">
        <v>12.8612</v>
      </c>
      <c r="C11">
        <v>20.5164</v>
      </c>
      <c r="D11">
        <v>237.2798</v>
      </c>
      <c r="F11" t="s">
        <v>172</v>
      </c>
      <c r="G11">
        <v>13.4283</v>
      </c>
      <c r="H11">
        <v>24.5328</v>
      </c>
      <c r="I11">
        <v>302.1738</v>
      </c>
    </row>
    <row r="12" spans="1:9" ht="14.25">
      <c r="A12" t="s">
        <v>173</v>
      </c>
      <c r="B12">
        <v>11.3612</v>
      </c>
      <c r="C12">
        <v>19.3324</v>
      </c>
      <c r="D12">
        <v>221.2167</v>
      </c>
      <c r="F12" t="s">
        <v>173</v>
      </c>
      <c r="G12">
        <v>12.077</v>
      </c>
      <c r="H12">
        <v>22.5621</v>
      </c>
      <c r="I12">
        <v>272.5685</v>
      </c>
    </row>
    <row r="13" spans="1:9" ht="14.25">
      <c r="A13" t="s">
        <v>174</v>
      </c>
      <c r="B13">
        <v>10.2152</v>
      </c>
      <c r="C13">
        <v>19.2654</v>
      </c>
      <c r="D13">
        <v>220.0604</v>
      </c>
      <c r="F13" t="s">
        <v>174</v>
      </c>
      <c r="G13">
        <v>11.5554</v>
      </c>
      <c r="H13">
        <v>22.2571</v>
      </c>
      <c r="I13">
        <v>268.0331</v>
      </c>
    </row>
    <row r="14" spans="1:9" ht="14.25">
      <c r="A14" t="s">
        <v>175</v>
      </c>
      <c r="B14">
        <v>15.5169</v>
      </c>
      <c r="C14">
        <v>18.4248</v>
      </c>
      <c r="D14">
        <v>211.7679</v>
      </c>
      <c r="F14" t="s">
        <v>175</v>
      </c>
      <c r="G14">
        <v>17.2968</v>
      </c>
      <c r="H14">
        <v>22.2917</v>
      </c>
      <c r="I14">
        <v>272.98</v>
      </c>
    </row>
    <row r="15" spans="1:9" ht="14.25">
      <c r="A15" t="s">
        <v>176</v>
      </c>
      <c r="B15">
        <v>12.5907</v>
      </c>
      <c r="C15">
        <v>18.8368</v>
      </c>
      <c r="D15">
        <v>215.4377</v>
      </c>
      <c r="F15" t="s">
        <v>176</v>
      </c>
      <c r="G15">
        <v>15.3353</v>
      </c>
      <c r="H15">
        <v>21.669</v>
      </c>
      <c r="I15">
        <v>261.7432</v>
      </c>
    </row>
    <row r="16" spans="1:9" ht="14.25">
      <c r="A16" t="s">
        <v>177</v>
      </c>
      <c r="B16">
        <v>13.6482</v>
      </c>
      <c r="C16">
        <v>18.1754</v>
      </c>
      <c r="D16">
        <v>206.7273</v>
      </c>
      <c r="F16" t="s">
        <v>177</v>
      </c>
      <c r="G16">
        <v>18.9273</v>
      </c>
      <c r="H16">
        <v>20.1609</v>
      </c>
      <c r="I16">
        <v>242.9736</v>
      </c>
    </row>
    <row r="17" spans="1:9" ht="14.25">
      <c r="A17" t="s">
        <v>178</v>
      </c>
      <c r="B17">
        <v>9.9253</v>
      </c>
      <c r="C17">
        <v>18.6636</v>
      </c>
      <c r="D17">
        <v>211.8862</v>
      </c>
      <c r="F17" t="s">
        <v>178</v>
      </c>
      <c r="G17">
        <v>12.1521</v>
      </c>
      <c r="H17">
        <v>21.197</v>
      </c>
      <c r="I17">
        <v>252.6964</v>
      </c>
    </row>
    <row r="18" spans="1:9" ht="14.25">
      <c r="A18" s="251" t="s">
        <v>179</v>
      </c>
      <c r="B18" s="252">
        <v>13.3093</v>
      </c>
      <c r="C18" s="252">
        <v>19.8387</v>
      </c>
      <c r="D18" s="253">
        <v>230.1652</v>
      </c>
      <c r="F18" s="251" t="s">
        <v>179</v>
      </c>
      <c r="G18" s="252">
        <v>12.1784</v>
      </c>
      <c r="H18" s="252">
        <v>24.5606</v>
      </c>
      <c r="I18" s="253">
        <v>296.4751</v>
      </c>
    </row>
    <row r="19" spans="1:9" ht="14.25">
      <c r="A19" t="s">
        <v>180</v>
      </c>
      <c r="B19">
        <v>14.1901</v>
      </c>
      <c r="C19">
        <v>18.5634</v>
      </c>
      <c r="D19">
        <v>210.5281</v>
      </c>
      <c r="F19" t="s">
        <v>180</v>
      </c>
      <c r="G19">
        <v>17.6897</v>
      </c>
      <c r="H19">
        <v>22.7826</v>
      </c>
      <c r="I19">
        <v>273.2907</v>
      </c>
    </row>
    <row r="20" spans="1:9" ht="14.25">
      <c r="A20" t="s">
        <v>181</v>
      </c>
      <c r="B20">
        <v>12.4964</v>
      </c>
      <c r="C20">
        <v>18.4476</v>
      </c>
      <c r="D20">
        <v>210.2128</v>
      </c>
      <c r="F20" t="s">
        <v>181</v>
      </c>
      <c r="G20">
        <v>15.4094</v>
      </c>
      <c r="H20">
        <v>21.7198</v>
      </c>
      <c r="I20">
        <v>261.8926</v>
      </c>
    </row>
    <row r="21" spans="1:9" ht="14.25">
      <c r="A21" t="s">
        <v>182</v>
      </c>
      <c r="B21">
        <v>11.911</v>
      </c>
      <c r="C21">
        <v>18.4385</v>
      </c>
      <c r="D21">
        <v>209.7845</v>
      </c>
      <c r="F21" t="s">
        <v>182</v>
      </c>
      <c r="G21">
        <v>15.7133</v>
      </c>
      <c r="H21">
        <v>21.8997</v>
      </c>
      <c r="I21">
        <v>269.8244</v>
      </c>
    </row>
    <row r="22" spans="1:9" ht="14.25">
      <c r="A22" t="s">
        <v>183</v>
      </c>
      <c r="B22">
        <v>12.196</v>
      </c>
      <c r="C22">
        <v>19.0645</v>
      </c>
      <c r="D22">
        <v>215.3923</v>
      </c>
      <c r="F22" t="s">
        <v>183</v>
      </c>
      <c r="G22">
        <v>17.7682</v>
      </c>
      <c r="H22">
        <v>21.3218</v>
      </c>
      <c r="I22">
        <v>253.6436</v>
      </c>
    </row>
    <row r="23" spans="1:9" ht="14.25">
      <c r="A23" t="s">
        <v>184</v>
      </c>
      <c r="B23">
        <v>16.2302</v>
      </c>
      <c r="C23">
        <v>18.7762</v>
      </c>
      <c r="D23">
        <v>216.108</v>
      </c>
      <c r="F23" t="s">
        <v>184</v>
      </c>
      <c r="G23">
        <v>20.2352</v>
      </c>
      <c r="H23">
        <v>22.3129</v>
      </c>
      <c r="I23">
        <v>271.1316</v>
      </c>
    </row>
    <row r="24" spans="1:9" ht="14.25">
      <c r="A24" t="s">
        <v>185</v>
      </c>
      <c r="B24">
        <v>14.0111</v>
      </c>
      <c r="C24">
        <v>19.6154</v>
      </c>
      <c r="D24">
        <v>225.3397</v>
      </c>
      <c r="F24" t="s">
        <v>185</v>
      </c>
      <c r="G24">
        <v>16.4927</v>
      </c>
      <c r="H24">
        <v>22.2187</v>
      </c>
      <c r="I24">
        <v>268.3139</v>
      </c>
    </row>
    <row r="25" spans="1:9" ht="14.25">
      <c r="A25" t="s">
        <v>186</v>
      </c>
      <c r="B25">
        <v>10.2871</v>
      </c>
      <c r="C25">
        <v>18.7124</v>
      </c>
      <c r="D25">
        <v>212.2704</v>
      </c>
      <c r="F25" t="s">
        <v>186</v>
      </c>
      <c r="G25">
        <v>11.6831</v>
      </c>
      <c r="H25">
        <v>23.491</v>
      </c>
      <c r="I25">
        <v>287.9969</v>
      </c>
    </row>
    <row r="26" spans="1:9" ht="14.25">
      <c r="A26" t="s">
        <v>187</v>
      </c>
      <c r="B26">
        <v>10.466</v>
      </c>
      <c r="C26">
        <v>20.9077</v>
      </c>
      <c r="D26">
        <v>238.0318</v>
      </c>
      <c r="F26" t="s">
        <v>187</v>
      </c>
      <c r="G26">
        <v>13.2438</v>
      </c>
      <c r="H26">
        <v>23.2754</v>
      </c>
      <c r="I26">
        <v>277.8473</v>
      </c>
    </row>
    <row r="27" spans="1:9" ht="14.25">
      <c r="A27" t="s">
        <v>188</v>
      </c>
      <c r="B27">
        <v>12.3675</v>
      </c>
      <c r="C27">
        <v>18.6337</v>
      </c>
      <c r="D27">
        <v>212.7284</v>
      </c>
      <c r="F27" t="s">
        <v>188</v>
      </c>
      <c r="G27">
        <v>15.4081</v>
      </c>
      <c r="H27">
        <v>21.8656</v>
      </c>
      <c r="I27">
        <v>261.3267</v>
      </c>
    </row>
    <row r="28" spans="1:9" ht="14.25">
      <c r="A28" t="s">
        <v>189</v>
      </c>
      <c r="B28">
        <v>12.3783</v>
      </c>
      <c r="C28">
        <v>18.9683</v>
      </c>
      <c r="D28">
        <v>218.2086</v>
      </c>
      <c r="F28" t="s">
        <v>189</v>
      </c>
      <c r="G28">
        <v>14.5609</v>
      </c>
      <c r="H28">
        <v>21.9974</v>
      </c>
      <c r="I28">
        <v>265.3198</v>
      </c>
    </row>
    <row r="29" spans="1:9" ht="14.25">
      <c r="A29" t="s">
        <v>190</v>
      </c>
      <c r="B29">
        <v>13.2559</v>
      </c>
      <c r="C29">
        <v>19.2978</v>
      </c>
      <c r="D29">
        <v>221.3379</v>
      </c>
      <c r="F29" t="s">
        <v>190</v>
      </c>
      <c r="G29">
        <v>11.3006</v>
      </c>
      <c r="H29">
        <v>25.8655</v>
      </c>
      <c r="I29">
        <v>321.3924</v>
      </c>
    </row>
    <row r="30" spans="1:9" ht="14.25">
      <c r="A30" t="s">
        <v>191</v>
      </c>
      <c r="B30">
        <v>13.8139</v>
      </c>
      <c r="C30">
        <v>20.1624</v>
      </c>
      <c r="D30">
        <v>234.2869</v>
      </c>
      <c r="F30" t="s">
        <v>191</v>
      </c>
      <c r="G30">
        <v>13.1994</v>
      </c>
      <c r="H30">
        <v>23.6414</v>
      </c>
      <c r="I30">
        <v>283.5307</v>
      </c>
    </row>
    <row r="31" spans="1:9" ht="14.25">
      <c r="A31" t="s">
        <v>192</v>
      </c>
      <c r="B31">
        <v>14.2253</v>
      </c>
      <c r="C31">
        <v>18.8366</v>
      </c>
      <c r="D31">
        <v>218.1845</v>
      </c>
      <c r="F31" t="s">
        <v>192</v>
      </c>
      <c r="G31">
        <v>18.5578</v>
      </c>
      <c r="H31">
        <v>21.5469</v>
      </c>
      <c r="I31">
        <v>269.0431</v>
      </c>
    </row>
    <row r="32" spans="1:9" ht="14.25">
      <c r="A32" t="s">
        <v>193</v>
      </c>
      <c r="B32">
        <v>12.8784</v>
      </c>
      <c r="C32">
        <v>17.9804</v>
      </c>
      <c r="D32">
        <v>204.1028</v>
      </c>
      <c r="F32" t="s">
        <v>193</v>
      </c>
      <c r="G32">
        <v>16.5157</v>
      </c>
      <c r="H32">
        <v>21.2894</v>
      </c>
      <c r="I32">
        <v>252.8634</v>
      </c>
    </row>
    <row r="34" ht="15.75">
      <c r="A34" s="124" t="s">
        <v>293</v>
      </c>
    </row>
    <row r="35" ht="15.75">
      <c r="A35" s="124" t="s">
        <v>292</v>
      </c>
    </row>
  </sheetData>
  <sheetProtection/>
  <mergeCells count="2">
    <mergeCell ref="A2:D2"/>
    <mergeCell ref="F2:I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42"/>
  <sheetViews>
    <sheetView zoomScalePageLayoutView="0" workbookViewId="0" topLeftCell="A1">
      <selection activeCell="J38" sqref="J38"/>
    </sheetView>
  </sheetViews>
  <sheetFormatPr defaultColWidth="11.421875" defaultRowHeight="15"/>
  <cols>
    <col min="1" max="1" width="15.140625" style="0" bestFit="1" customWidth="1"/>
    <col min="2" max="3" width="16.00390625" style="0" bestFit="1" customWidth="1"/>
    <col min="4" max="4" width="16.7109375" style="0" bestFit="1" customWidth="1"/>
    <col min="5" max="5" width="16.28125" style="0" bestFit="1" customWidth="1"/>
    <col min="6" max="6" width="12.7109375" style="0" bestFit="1" customWidth="1"/>
    <col min="7" max="7" width="12.7109375" style="0" customWidth="1"/>
    <col min="8" max="8" width="28.421875" style="0" customWidth="1"/>
  </cols>
  <sheetData>
    <row r="1" spans="1:7" ht="21">
      <c r="A1" s="228" t="s">
        <v>0</v>
      </c>
      <c r="B1" s="228"/>
      <c r="C1" s="228"/>
      <c r="D1" s="228"/>
      <c r="E1" s="228"/>
      <c r="F1" s="228"/>
      <c r="G1" s="228"/>
    </row>
    <row r="2" spans="1:9" ht="21">
      <c r="A2" s="228" t="s">
        <v>1</v>
      </c>
      <c r="B2" s="228"/>
      <c r="C2" s="228"/>
      <c r="D2" s="228"/>
      <c r="E2" s="228"/>
      <c r="F2" s="228"/>
      <c r="G2" s="228"/>
      <c r="H2" s="247" t="s">
        <v>32</v>
      </c>
      <c r="I2" s="248">
        <f>1*(1/(1/F13+1/F14+1/F15+1/F16+1/F17+1/F18+1/F19+1/F20+1/F21+1/F22+1/F23+1/F24+1/F25+1/F26+1/F27+1/F28+1/F29+1/F30+1/F31+1/F32+1/F33+1/F34+1/F35+1/F36))</f>
        <v>0.12392767502281174</v>
      </c>
    </row>
    <row r="3" spans="8:9" ht="15">
      <c r="H3" s="249"/>
      <c r="I3" s="248"/>
    </row>
    <row r="4" spans="1:9" ht="21">
      <c r="A4" s="227" t="s">
        <v>164</v>
      </c>
      <c r="H4" s="114" t="s">
        <v>354</v>
      </c>
      <c r="I4" s="114"/>
    </row>
    <row r="5" ht="21">
      <c r="A5" s="227" t="s">
        <v>54</v>
      </c>
    </row>
    <row r="6" spans="8:9" ht="15">
      <c r="H6" s="162" t="s">
        <v>55</v>
      </c>
      <c r="I6" s="89">
        <f>SUM(B13:B36)</f>
        <v>1</v>
      </c>
    </row>
    <row r="7" spans="1:9" ht="18">
      <c r="A7" s="203" t="s">
        <v>4</v>
      </c>
      <c r="B7" s="203"/>
      <c r="C7" s="203"/>
      <c r="D7" s="203"/>
      <c r="E7" s="203"/>
      <c r="F7" s="203"/>
      <c r="H7" s="162" t="s">
        <v>3</v>
      </c>
      <c r="I7" s="89">
        <f>SUM(D13:D36)</f>
        <v>0</v>
      </c>
    </row>
    <row r="9" spans="1:6" ht="15">
      <c r="A9" s="112"/>
      <c r="B9" s="113"/>
      <c r="C9" s="113"/>
      <c r="D9" s="113"/>
      <c r="E9" s="113"/>
      <c r="F9" s="229" t="s">
        <v>2</v>
      </c>
    </row>
    <row r="10" spans="1:6" ht="15">
      <c r="A10" s="115"/>
      <c r="B10" s="116" t="s">
        <v>84</v>
      </c>
      <c r="C10" s="116" t="s">
        <v>85</v>
      </c>
      <c r="D10" s="116" t="s">
        <v>84</v>
      </c>
      <c r="E10" s="116" t="s">
        <v>85</v>
      </c>
      <c r="F10" s="116" t="s">
        <v>269</v>
      </c>
    </row>
    <row r="11" spans="1:7" ht="15">
      <c r="A11" s="115"/>
      <c r="B11" s="116" t="s">
        <v>86</v>
      </c>
      <c r="C11" s="116" t="s">
        <v>86</v>
      </c>
      <c r="D11" s="116" t="s">
        <v>87</v>
      </c>
      <c r="E11" s="116" t="s">
        <v>88</v>
      </c>
      <c r="F11" s="116" t="s">
        <v>270</v>
      </c>
      <c r="G11" s="162"/>
    </row>
    <row r="12" spans="1:7" ht="18.75">
      <c r="A12" s="117" t="s">
        <v>210</v>
      </c>
      <c r="B12" s="117" t="s">
        <v>271</v>
      </c>
      <c r="C12" s="117" t="s">
        <v>271</v>
      </c>
      <c r="D12" s="117" t="s">
        <v>271</v>
      </c>
      <c r="E12" s="117" t="s">
        <v>271</v>
      </c>
      <c r="F12" s="117" t="s">
        <v>272</v>
      </c>
      <c r="G12" s="116"/>
    </row>
    <row r="13" spans="1:7" ht="15">
      <c r="A13" s="244" t="s">
        <v>394</v>
      </c>
      <c r="B13" s="245">
        <v>0</v>
      </c>
      <c r="C13" s="245" t="s">
        <v>209</v>
      </c>
      <c r="D13" s="245">
        <v>0</v>
      </c>
      <c r="E13" s="245" t="s">
        <v>209</v>
      </c>
      <c r="F13" s="268">
        <v>2.986626120954479</v>
      </c>
      <c r="G13" s="118"/>
    </row>
    <row r="14" spans="1:7" ht="15">
      <c r="A14" s="246" t="s">
        <v>395</v>
      </c>
      <c r="B14" s="245">
        <v>1</v>
      </c>
      <c r="C14" s="245"/>
      <c r="D14" s="245">
        <v>0</v>
      </c>
      <c r="E14" s="245" t="s">
        <v>209</v>
      </c>
      <c r="F14" s="268">
        <v>2.991452991452992</v>
      </c>
      <c r="G14" s="118"/>
    </row>
    <row r="15" spans="1:7" ht="15">
      <c r="A15" s="246" t="s">
        <v>396</v>
      </c>
      <c r="B15" s="245">
        <v>0</v>
      </c>
      <c r="C15" s="245" t="s">
        <v>209</v>
      </c>
      <c r="D15" s="245">
        <v>0</v>
      </c>
      <c r="E15" s="245" t="s">
        <v>209</v>
      </c>
      <c r="F15" s="269">
        <v>2.9665816503440463</v>
      </c>
      <c r="G15" s="118"/>
    </row>
    <row r="16" spans="1:7" ht="15">
      <c r="A16" s="246" t="s">
        <v>397</v>
      </c>
      <c r="B16" s="245">
        <v>0</v>
      </c>
      <c r="C16" s="245" t="s">
        <v>209</v>
      </c>
      <c r="D16" s="245">
        <v>0</v>
      </c>
      <c r="E16" s="245" t="s">
        <v>209</v>
      </c>
      <c r="F16" s="269">
        <v>2.991452991452992</v>
      </c>
      <c r="G16" s="118"/>
    </row>
    <row r="17" spans="1:7" ht="15">
      <c r="A17" s="246" t="s">
        <v>398</v>
      </c>
      <c r="B17" s="245">
        <v>0</v>
      </c>
      <c r="C17" s="245" t="s">
        <v>209</v>
      </c>
      <c r="D17" s="245">
        <v>0</v>
      </c>
      <c r="E17" s="245" t="s">
        <v>209</v>
      </c>
      <c r="F17" s="269">
        <v>2.9794149512459374</v>
      </c>
      <c r="G17" s="118"/>
    </row>
    <row r="18" spans="1:7" ht="15">
      <c r="A18" s="246" t="s">
        <v>399</v>
      </c>
      <c r="B18" s="245">
        <v>0</v>
      </c>
      <c r="C18" s="245" t="s">
        <v>209</v>
      </c>
      <c r="D18" s="245">
        <v>0</v>
      </c>
      <c r="E18" s="245" t="s">
        <v>209</v>
      </c>
      <c r="F18" s="269">
        <v>2.986626120954479</v>
      </c>
      <c r="G18" s="118"/>
    </row>
    <row r="19" spans="1:7" ht="15">
      <c r="A19" s="246" t="s">
        <v>400</v>
      </c>
      <c r="B19" s="245">
        <v>0</v>
      </c>
      <c r="C19" s="245" t="s">
        <v>209</v>
      </c>
      <c r="D19" s="245">
        <v>0</v>
      </c>
      <c r="E19" s="245" t="s">
        <v>209</v>
      </c>
      <c r="F19" s="269">
        <v>2.9794149512459374</v>
      </c>
      <c r="G19" s="118"/>
    </row>
    <row r="20" spans="1:7" ht="15">
      <c r="A20" s="246" t="s">
        <v>401</v>
      </c>
      <c r="B20" s="245">
        <v>0</v>
      </c>
      <c r="C20" s="245" t="s">
        <v>209</v>
      </c>
      <c r="D20" s="245">
        <v>0</v>
      </c>
      <c r="E20" s="245" t="s">
        <v>209</v>
      </c>
      <c r="F20" s="269">
        <v>2.989641087763438</v>
      </c>
      <c r="G20" s="118"/>
    </row>
    <row r="21" spans="1:7" ht="15">
      <c r="A21" s="246" t="s">
        <v>402</v>
      </c>
      <c r="B21" s="245">
        <v>0</v>
      </c>
      <c r="C21" s="245" t="s">
        <v>209</v>
      </c>
      <c r="D21" s="245">
        <v>0</v>
      </c>
      <c r="E21" s="245" t="s">
        <v>209</v>
      </c>
      <c r="F21" s="269">
        <v>2.9427051485875015</v>
      </c>
      <c r="G21" s="118"/>
    </row>
    <row r="22" spans="1:7" ht="15">
      <c r="A22" s="246" t="s">
        <v>403</v>
      </c>
      <c r="B22" s="245">
        <v>0</v>
      </c>
      <c r="C22" s="245" t="s">
        <v>209</v>
      </c>
      <c r="D22" s="245">
        <v>0</v>
      </c>
      <c r="E22" s="245" t="s">
        <v>209</v>
      </c>
      <c r="F22" s="269">
        <v>2.9794149512459374</v>
      </c>
      <c r="G22" s="118"/>
    </row>
    <row r="23" spans="1:7" ht="15">
      <c r="A23" s="246" t="s">
        <v>404</v>
      </c>
      <c r="B23" s="245">
        <v>0</v>
      </c>
      <c r="C23" s="245" t="s">
        <v>209</v>
      </c>
      <c r="D23" s="245">
        <v>0</v>
      </c>
      <c r="E23" s="245" t="s">
        <v>209</v>
      </c>
      <c r="F23" s="269">
        <v>2.900057247883335</v>
      </c>
      <c r="G23" s="118"/>
    </row>
    <row r="24" spans="1:7" ht="15">
      <c r="A24" s="246" t="s">
        <v>405</v>
      </c>
      <c r="B24" s="245">
        <v>0</v>
      </c>
      <c r="C24" s="245" t="s">
        <v>209</v>
      </c>
      <c r="D24" s="245">
        <v>0</v>
      </c>
      <c r="E24" s="245" t="s">
        <v>209</v>
      </c>
      <c r="F24" s="269">
        <v>2.986626120954479</v>
      </c>
      <c r="G24" s="118"/>
    </row>
    <row r="25" spans="1:7" ht="15">
      <c r="A25" s="246" t="s">
        <v>406</v>
      </c>
      <c r="B25" s="245">
        <v>0</v>
      </c>
      <c r="C25" s="245" t="s">
        <v>209</v>
      </c>
      <c r="D25" s="245">
        <v>0</v>
      </c>
      <c r="E25" s="245" t="s">
        <v>209</v>
      </c>
      <c r="F25" s="269">
        <v>2.960058432322301</v>
      </c>
      <c r="G25" s="118"/>
    </row>
    <row r="26" spans="1:7" ht="15">
      <c r="A26" s="246" t="s">
        <v>407</v>
      </c>
      <c r="B26" s="245">
        <v>0</v>
      </c>
      <c r="C26" s="245" t="s">
        <v>209</v>
      </c>
      <c r="D26" s="245">
        <v>0</v>
      </c>
      <c r="E26" s="245" t="s">
        <v>209</v>
      </c>
      <c r="F26" s="269">
        <v>2.986626120954479</v>
      </c>
      <c r="G26" s="118"/>
    </row>
    <row r="27" spans="1:7" ht="15">
      <c r="A27" s="246" t="s">
        <v>408</v>
      </c>
      <c r="B27" s="245">
        <v>0</v>
      </c>
      <c r="C27" s="245" t="s">
        <v>209</v>
      </c>
      <c r="D27" s="245">
        <v>0</v>
      </c>
      <c r="E27" s="245" t="s">
        <v>209</v>
      </c>
      <c r="F27" s="269">
        <v>2.983016178020207</v>
      </c>
      <c r="G27" s="118"/>
    </row>
    <row r="28" spans="1:7" ht="15">
      <c r="A28" s="246" t="s">
        <v>409</v>
      </c>
      <c r="B28" s="245">
        <v>0</v>
      </c>
      <c r="C28" s="245" t="s">
        <v>209</v>
      </c>
      <c r="D28" s="245">
        <v>0</v>
      </c>
      <c r="E28" s="245" t="s">
        <v>209</v>
      </c>
      <c r="F28" s="269">
        <v>2.986626120954479</v>
      </c>
      <c r="G28" s="118"/>
    </row>
    <row r="29" spans="1:7" ht="15">
      <c r="A29" s="246" t="s">
        <v>410</v>
      </c>
      <c r="B29" s="245">
        <v>0</v>
      </c>
      <c r="C29" s="245" t="s">
        <v>209</v>
      </c>
      <c r="D29" s="245">
        <v>0</v>
      </c>
      <c r="E29" s="245" t="s">
        <v>209</v>
      </c>
      <c r="F29" s="269">
        <v>2.966284516765286</v>
      </c>
      <c r="G29" s="118"/>
    </row>
    <row r="30" spans="1:7" ht="15">
      <c r="A30" s="246" t="s">
        <v>411</v>
      </c>
      <c r="B30" s="245">
        <v>0</v>
      </c>
      <c r="C30" s="245" t="s">
        <v>209</v>
      </c>
      <c r="D30" s="245">
        <v>0</v>
      </c>
      <c r="E30" s="245" t="s">
        <v>209</v>
      </c>
      <c r="F30" s="269">
        <v>2.9585798816568047</v>
      </c>
      <c r="G30" s="118"/>
    </row>
    <row r="31" spans="1:7" ht="15">
      <c r="A31" s="246" t="s">
        <v>412</v>
      </c>
      <c r="B31" s="245">
        <v>0</v>
      </c>
      <c r="C31" s="245" t="s">
        <v>209</v>
      </c>
      <c r="D31" s="245">
        <v>0</v>
      </c>
      <c r="E31" s="245" t="s">
        <v>209</v>
      </c>
      <c r="F31" s="269">
        <v>2.9665816503440463</v>
      </c>
      <c r="G31" s="118"/>
    </row>
    <row r="32" spans="1:7" ht="15">
      <c r="A32" s="246" t="s">
        <v>413</v>
      </c>
      <c r="B32" s="245">
        <v>0</v>
      </c>
      <c r="C32" s="245" t="s">
        <v>209</v>
      </c>
      <c r="D32" s="245">
        <v>0</v>
      </c>
      <c r="E32" s="245" t="s">
        <v>209</v>
      </c>
      <c r="F32" s="269">
        <v>2.961242337304731</v>
      </c>
      <c r="G32" s="118"/>
    </row>
    <row r="33" spans="1:7" ht="15">
      <c r="A33" s="246" t="s">
        <v>414</v>
      </c>
      <c r="B33" s="245">
        <v>0</v>
      </c>
      <c r="C33" s="245" t="s">
        <v>209</v>
      </c>
      <c r="D33" s="245">
        <v>0</v>
      </c>
      <c r="E33" s="245" t="s">
        <v>209</v>
      </c>
      <c r="F33" s="269">
        <v>2.986626120954479</v>
      </c>
      <c r="G33" s="118"/>
    </row>
    <row r="34" spans="1:7" ht="15">
      <c r="A34" s="246" t="s">
        <v>415</v>
      </c>
      <c r="B34" s="245">
        <v>0</v>
      </c>
      <c r="C34" s="245" t="s">
        <v>209</v>
      </c>
      <c r="D34" s="245">
        <v>0</v>
      </c>
      <c r="E34" s="245" t="s">
        <v>209</v>
      </c>
      <c r="F34" s="269">
        <v>2.97</v>
      </c>
      <c r="G34" s="118"/>
    </row>
    <row r="35" spans="1:7" ht="15">
      <c r="A35" s="246" t="s">
        <v>416</v>
      </c>
      <c r="B35" s="245">
        <v>0</v>
      </c>
      <c r="C35" s="245" t="s">
        <v>209</v>
      </c>
      <c r="D35" s="245">
        <v>0</v>
      </c>
      <c r="E35" s="245" t="s">
        <v>209</v>
      </c>
      <c r="F35" s="269">
        <v>2.99</v>
      </c>
      <c r="G35" s="118"/>
    </row>
    <row r="36" spans="1:7" ht="15">
      <c r="A36" s="246" t="s">
        <v>417</v>
      </c>
      <c r="B36" s="245">
        <v>0</v>
      </c>
      <c r="C36" s="245" t="s">
        <v>209</v>
      </c>
      <c r="D36" s="245">
        <v>0</v>
      </c>
      <c r="E36" s="245" t="s">
        <v>209</v>
      </c>
      <c r="F36" s="269">
        <v>2.99</v>
      </c>
      <c r="G36" s="119"/>
    </row>
    <row r="37" spans="1:7" ht="15">
      <c r="A37" s="120"/>
      <c r="B37" s="121"/>
      <c r="C37" s="121"/>
      <c r="D37" s="121"/>
      <c r="E37" s="121"/>
      <c r="F37" s="121"/>
      <c r="G37" s="118"/>
    </row>
    <row r="38" spans="1:6" ht="15">
      <c r="A38" s="114"/>
      <c r="B38" s="114"/>
      <c r="C38" s="114"/>
      <c r="D38" s="114"/>
      <c r="E38" s="114"/>
      <c r="F38" s="114"/>
    </row>
    <row r="39" spans="1:6" ht="15">
      <c r="A39" s="114"/>
      <c r="B39" s="114"/>
      <c r="C39" s="114"/>
      <c r="F39" s="114"/>
    </row>
    <row r="40" spans="2:6" ht="15">
      <c r="B40" s="114"/>
      <c r="C40" s="114"/>
      <c r="F40" s="114"/>
    </row>
    <row r="41" spans="1:6" ht="18">
      <c r="A41" s="122"/>
      <c r="B41" s="114"/>
      <c r="C41" s="114"/>
      <c r="F41" s="114"/>
    </row>
    <row r="42" spans="1:6" ht="15">
      <c r="A42" s="114"/>
      <c r="B42" s="114"/>
      <c r="C42" s="114"/>
      <c r="D42" s="114"/>
      <c r="E42" s="114"/>
      <c r="F42" s="11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47"/>
  <sheetViews>
    <sheetView zoomScalePageLayoutView="0" workbookViewId="0" topLeftCell="A2">
      <selection activeCell="C24" sqref="C24"/>
    </sheetView>
  </sheetViews>
  <sheetFormatPr defaultColWidth="13.28125" defaultRowHeight="15"/>
  <cols>
    <col min="1" max="1" width="36.421875" style="104" bestFit="1" customWidth="1"/>
    <col min="2" max="2" width="9.7109375" style="104" bestFit="1" customWidth="1"/>
    <col min="3" max="3" width="19.7109375" style="104" customWidth="1"/>
    <col min="4" max="4" width="19.00390625" style="104" customWidth="1"/>
    <col min="5" max="5" width="28.140625" style="104" customWidth="1"/>
    <col min="6" max="6" width="20.140625" style="104" customWidth="1"/>
    <col min="7" max="7" width="32.28125" style="104" bestFit="1" customWidth="1"/>
    <col min="8" max="16384" width="13.28125" style="104" customWidth="1"/>
  </cols>
  <sheetData>
    <row r="1" ht="21">
      <c r="A1" s="250" t="s">
        <v>8</v>
      </c>
    </row>
    <row r="2" ht="21">
      <c r="A2" s="250" t="s">
        <v>9</v>
      </c>
    </row>
    <row r="3" ht="21">
      <c r="A3" s="250" t="s">
        <v>162</v>
      </c>
    </row>
    <row r="4" ht="21">
      <c r="A4" s="250" t="s">
        <v>161</v>
      </c>
    </row>
    <row r="5" ht="21">
      <c r="A5" s="250" t="s">
        <v>163</v>
      </c>
    </row>
    <row r="6" ht="15"/>
    <row r="7" spans="1:7" ht="18.75" thickBot="1">
      <c r="A7" s="179" t="s">
        <v>37</v>
      </c>
      <c r="B7" s="91"/>
      <c r="C7" s="91" t="s">
        <v>154</v>
      </c>
      <c r="D7" s="91" t="s">
        <v>155</v>
      </c>
      <c r="E7" s="91" t="s">
        <v>156</v>
      </c>
      <c r="F7" s="91" t="s">
        <v>337</v>
      </c>
      <c r="G7" s="198" t="s">
        <v>212</v>
      </c>
    </row>
    <row r="8" spans="1:6" ht="15">
      <c r="A8" s="104" t="s">
        <v>331</v>
      </c>
      <c r="B8" s="157" t="s">
        <v>256</v>
      </c>
      <c r="C8" s="194">
        <v>1E-06</v>
      </c>
      <c r="D8" s="194">
        <v>1E-06</v>
      </c>
      <c r="E8" s="194">
        <v>1E-06</v>
      </c>
      <c r="F8" s="194">
        <v>1E-06</v>
      </c>
    </row>
    <row r="9" spans="1:6" ht="15">
      <c r="A9" s="171" t="s">
        <v>157</v>
      </c>
      <c r="B9" s="104" t="s">
        <v>334</v>
      </c>
      <c r="C9" s="204">
        <f>Risk_Calculations!C66</f>
        <v>613200</v>
      </c>
      <c r="D9" s="188">
        <f>Risk_Calculations!D66</f>
        <v>613200</v>
      </c>
      <c r="E9" s="188">
        <f>Risk_Calculations!F66</f>
        <v>613200</v>
      </c>
      <c r="F9" s="205">
        <f>Risk_Calculations!G66</f>
        <v>613200</v>
      </c>
    </row>
    <row r="10" spans="1:7" ht="15">
      <c r="A10" s="171" t="s">
        <v>151</v>
      </c>
      <c r="B10" s="104" t="s">
        <v>159</v>
      </c>
      <c r="C10" s="206">
        <f>Risk_Calculations!C60</f>
        <v>250</v>
      </c>
      <c r="D10" s="104">
        <f>Risk_Calculations!D60</f>
        <v>350</v>
      </c>
      <c r="E10" s="104">
        <f>Risk_Calculations!F60</f>
        <v>250</v>
      </c>
      <c r="F10" s="207">
        <f>Risk_Calculations!G60</f>
        <v>350</v>
      </c>
      <c r="G10" s="210" t="s">
        <v>6</v>
      </c>
    </row>
    <row r="11" spans="1:6" ht="15">
      <c r="A11" s="171" t="s">
        <v>152</v>
      </c>
      <c r="B11" s="104" t="s">
        <v>158</v>
      </c>
      <c r="C11" s="206">
        <f>Risk_Calculations!C61</f>
        <v>1</v>
      </c>
      <c r="D11" s="104">
        <f>Risk_Calculations!D61</f>
        <v>30</v>
      </c>
      <c r="E11" s="104">
        <f>Risk_Calculations!F61</f>
        <v>25</v>
      </c>
      <c r="F11" s="207">
        <f>Risk_Calculations!G61</f>
        <v>30</v>
      </c>
    </row>
    <row r="12" spans="1:6" ht="15">
      <c r="A12" s="172" t="s">
        <v>385</v>
      </c>
      <c r="B12" s="156" t="s">
        <v>335</v>
      </c>
      <c r="C12" s="208">
        <f>Risk_Calculations!C65</f>
        <v>8</v>
      </c>
      <c r="D12" s="190">
        <f>Risk_Calculations!D65</f>
        <v>8.68</v>
      </c>
      <c r="E12" s="190">
        <f>Risk_Calculations!F65</f>
        <v>3.2</v>
      </c>
      <c r="F12" s="209">
        <f>Risk_Calculations!G65</f>
        <v>8.68</v>
      </c>
    </row>
    <row r="13" spans="1:6" ht="17.25">
      <c r="A13" s="174" t="s">
        <v>387</v>
      </c>
      <c r="B13" s="176" t="s">
        <v>332</v>
      </c>
      <c r="C13" s="177">
        <v>0.0569336</v>
      </c>
      <c r="D13" s="177">
        <v>0.0569336</v>
      </c>
      <c r="E13" s="177">
        <v>0.0569336</v>
      </c>
      <c r="F13" s="177">
        <v>0.0569336</v>
      </c>
    </row>
    <row r="14" spans="1:6" ht="30">
      <c r="A14" s="175" t="s">
        <v>327</v>
      </c>
      <c r="B14" s="176" t="s">
        <v>332</v>
      </c>
      <c r="C14" s="178">
        <v>6.320600000000001</v>
      </c>
      <c r="D14" s="178">
        <v>6.320600000000001</v>
      </c>
      <c r="E14" s="178">
        <v>6.320600000000001</v>
      </c>
      <c r="F14" s="178">
        <v>6.320600000000001</v>
      </c>
    </row>
    <row r="15" spans="1:7" s="156" customFormat="1" ht="15">
      <c r="A15" s="173" t="s">
        <v>328</v>
      </c>
      <c r="C15" s="214">
        <f>Risk_Calculations!E40</f>
        <v>0.0032615786040443573</v>
      </c>
      <c r="D15" s="215">
        <f>Risk_Calculations!F40</f>
        <v>0.14863013698630137</v>
      </c>
      <c r="E15" s="215">
        <f>Risk_Calculations!G40</f>
        <v>0.03261578604044357</v>
      </c>
      <c r="F15" s="216">
        <f>Risk_Calculations!H40</f>
        <v>0.14863013698630137</v>
      </c>
      <c r="G15" s="210" t="s">
        <v>80</v>
      </c>
    </row>
    <row r="16" spans="1:7" ht="15.75">
      <c r="A16" s="173" t="s">
        <v>386</v>
      </c>
      <c r="B16" s="164" t="s">
        <v>333</v>
      </c>
      <c r="C16" s="217">
        <f>Risk_Calculations!C68</f>
        <v>11452.749582466467</v>
      </c>
      <c r="D16" s="218">
        <f>Risk_Calculations!D68</f>
        <v>1073862.1810381424</v>
      </c>
      <c r="E16" s="218">
        <f>Risk_Calculations!F68</f>
        <v>952974.8330895107</v>
      </c>
      <c r="F16" s="219">
        <f>Risk_Calculations!G68</f>
        <v>884931.8686282658</v>
      </c>
      <c r="G16" s="210" t="s">
        <v>7</v>
      </c>
    </row>
    <row r="17" spans="1:7" ht="15">
      <c r="A17" s="173" t="s">
        <v>329</v>
      </c>
      <c r="B17" s="104" t="s">
        <v>350</v>
      </c>
      <c r="C17" s="170">
        <f>((C8*C9)/(C13*C12*C10*C11))*C16</f>
        <v>61.67558387286626</v>
      </c>
      <c r="D17" s="170">
        <f>((D8*D9)/(D13*D12*D10*D11))*D16</f>
        <v>126.90333163882329</v>
      </c>
      <c r="E17" s="170">
        <f>((E8*E9)/(E13*E12*E10*E11))*E16</f>
        <v>513.1979776884721</v>
      </c>
      <c r="F17" s="170">
        <f>((F8*F9)/(F13*F12*F10*F11))*F16</f>
        <v>104.57655031088912</v>
      </c>
      <c r="G17" s="193" t="s">
        <v>349</v>
      </c>
    </row>
    <row r="18" spans="1:7" ht="15">
      <c r="A18" s="173" t="s">
        <v>330</v>
      </c>
      <c r="B18" s="104" t="s">
        <v>350</v>
      </c>
      <c r="C18" s="170">
        <f>((C8*C9)/(C14*C12*C10*C11))*C16</f>
        <v>0.5555505841192638</v>
      </c>
      <c r="D18" s="170">
        <f>((D8*D9)/(D14*D12*D10*D11))*D16</f>
        <v>1.1430977315748678</v>
      </c>
      <c r="E18" s="170">
        <f>((E8*E9)/(E14*E12*E10*E11))*E16</f>
        <v>4.6226953742563035</v>
      </c>
      <c r="F18" s="170">
        <f>((F8*F9)/(F14*F12*F10*F11))*F16</f>
        <v>0.9419864387526558</v>
      </c>
      <c r="G18" s="193" t="s">
        <v>349</v>
      </c>
    </row>
    <row r="19" spans="1:6" ht="14.25">
      <c r="A19" s="173"/>
      <c r="C19" s="170"/>
      <c r="D19" s="170"/>
      <c r="E19" s="170"/>
      <c r="F19" s="170"/>
    </row>
    <row r="20" spans="1:6" ht="14.25">
      <c r="A20" s="184" t="s">
        <v>343</v>
      </c>
      <c r="C20" s="170"/>
      <c r="D20" s="170"/>
      <c r="E20" s="170"/>
      <c r="F20" s="170"/>
    </row>
    <row r="21" spans="1:6" ht="14.25">
      <c r="A21" s="173" t="s">
        <v>344</v>
      </c>
      <c r="B21" s="104" t="s">
        <v>336</v>
      </c>
      <c r="C21" s="170">
        <f aca="true" t="shared" si="0" ref="C21:F22">(C17/$B$44)*1000000</f>
        <v>20587815.679148965</v>
      </c>
      <c r="D21" s="170">
        <f t="shared" si="0"/>
        <v>42361372.796008974</v>
      </c>
      <c r="E21" s="170">
        <f t="shared" si="0"/>
        <v>171309693.53028753</v>
      </c>
      <c r="F21" s="170">
        <f t="shared" si="0"/>
        <v>34908510.09371687</v>
      </c>
    </row>
    <row r="22" spans="1:6" ht="14.25">
      <c r="A22" s="173" t="s">
        <v>345</v>
      </c>
      <c r="B22" s="104" t="s">
        <v>336</v>
      </c>
      <c r="C22" s="170">
        <f t="shared" si="0"/>
        <v>185447.34087751093</v>
      </c>
      <c r="D22" s="170">
        <f t="shared" si="0"/>
        <v>381575.3969906111</v>
      </c>
      <c r="E22" s="170">
        <f t="shared" si="0"/>
        <v>1543093.6252216527</v>
      </c>
      <c r="F22" s="170">
        <f t="shared" si="0"/>
        <v>314442.7981950509</v>
      </c>
    </row>
    <row r="23" spans="1:6" ht="14.25">
      <c r="A23" s="187" t="s">
        <v>341</v>
      </c>
      <c r="B23" s="188"/>
      <c r="C23" s="192">
        <f aca="true" t="shared" si="1" ref="C23:F24">CEILING($A$40/C21,1)</f>
        <v>1</v>
      </c>
      <c r="D23" s="192">
        <f t="shared" si="1"/>
        <v>1</v>
      </c>
      <c r="E23" s="192">
        <f t="shared" si="1"/>
        <v>1</v>
      </c>
      <c r="F23" s="192">
        <f t="shared" si="1"/>
        <v>1</v>
      </c>
    </row>
    <row r="24" spans="1:6" ht="14.25">
      <c r="A24" s="189" t="s">
        <v>342</v>
      </c>
      <c r="B24" s="190"/>
      <c r="C24" s="191">
        <f t="shared" si="1"/>
        <v>17</v>
      </c>
      <c r="D24" s="191">
        <f t="shared" si="1"/>
        <v>8</v>
      </c>
      <c r="E24" s="191">
        <f t="shared" si="1"/>
        <v>2</v>
      </c>
      <c r="F24" s="191">
        <f t="shared" si="1"/>
        <v>10</v>
      </c>
    </row>
    <row r="26" ht="14.25">
      <c r="A26" s="184" t="s">
        <v>347</v>
      </c>
    </row>
    <row r="27" spans="1:6" ht="14.25">
      <c r="A27" s="173" t="s">
        <v>344</v>
      </c>
      <c r="B27" s="104" t="s">
        <v>336</v>
      </c>
      <c r="C27" s="170">
        <f aca="true" t="shared" si="2" ref="C27:F28">(C17/$C$44)*1000000</f>
        <v>13001126.746435925</v>
      </c>
      <c r="D27" s="170">
        <f t="shared" si="2"/>
        <v>26751044.669188607</v>
      </c>
      <c r="E27" s="170">
        <f t="shared" si="2"/>
        <v>108181415.31819025</v>
      </c>
      <c r="F27" s="170">
        <f t="shared" si="2"/>
        <v>22044590.418463066</v>
      </c>
    </row>
    <row r="28" spans="1:6" ht="14.25">
      <c r="A28" s="173" t="s">
        <v>345</v>
      </c>
      <c r="B28" s="104" t="s">
        <v>336</v>
      </c>
      <c r="C28" s="170">
        <f t="shared" si="2"/>
        <v>117109.28546829171</v>
      </c>
      <c r="D28" s="170">
        <f t="shared" si="2"/>
        <v>240963.4016988445</v>
      </c>
      <c r="E28" s="170">
        <f t="shared" si="2"/>
        <v>974457.7140081188</v>
      </c>
      <c r="F28" s="170">
        <f t="shared" si="2"/>
        <v>198569.42268908152</v>
      </c>
    </row>
    <row r="29" spans="1:6" ht="14.25">
      <c r="A29" s="187" t="s">
        <v>341</v>
      </c>
      <c r="B29" s="188"/>
      <c r="C29" s="192">
        <f aca="true" t="shared" si="3" ref="C29:F30">CEILING($A$40/C27,1)</f>
        <v>1</v>
      </c>
      <c r="D29" s="192">
        <f t="shared" si="3"/>
        <v>1</v>
      </c>
      <c r="E29" s="192">
        <f t="shared" si="3"/>
        <v>1</v>
      </c>
      <c r="F29" s="192">
        <f t="shared" si="3"/>
        <v>1</v>
      </c>
    </row>
    <row r="30" spans="1:6" ht="14.25">
      <c r="A30" s="189" t="s">
        <v>342</v>
      </c>
      <c r="B30" s="190"/>
      <c r="C30" s="191">
        <f t="shared" si="3"/>
        <v>26</v>
      </c>
      <c r="D30" s="191">
        <f t="shared" si="3"/>
        <v>13</v>
      </c>
      <c r="E30" s="191">
        <f t="shared" si="3"/>
        <v>4</v>
      </c>
      <c r="F30" s="191">
        <f t="shared" si="3"/>
        <v>16</v>
      </c>
    </row>
    <row r="31" ht="14.25">
      <c r="A31" s="173"/>
    </row>
    <row r="32" ht="14.25">
      <c r="A32" s="184" t="s">
        <v>348</v>
      </c>
    </row>
    <row r="33" spans="1:6" ht="14.25">
      <c r="A33" s="173" t="s">
        <v>344</v>
      </c>
      <c r="B33" s="104" t="s">
        <v>336</v>
      </c>
      <c r="C33" s="170">
        <f aca="true" t="shared" si="4" ref="C33:F34">(C17/$D$44)*1000000</f>
        <v>9796316.012804395</v>
      </c>
      <c r="D33" s="170">
        <f t="shared" si="4"/>
        <v>20156844.27688996</v>
      </c>
      <c r="E33" s="170">
        <f t="shared" si="4"/>
        <v>81514421.92961878</v>
      </c>
      <c r="F33" s="170">
        <f t="shared" si="4"/>
        <v>16610542.941695826</v>
      </c>
    </row>
    <row r="34" spans="1:6" ht="14.25">
      <c r="A34" s="173" t="s">
        <v>345</v>
      </c>
      <c r="B34" s="104" t="s">
        <v>336</v>
      </c>
      <c r="C34" s="170">
        <f t="shared" si="4"/>
        <v>88241.54943306021</v>
      </c>
      <c r="D34" s="170">
        <f t="shared" si="4"/>
        <v>181565.31173033293</v>
      </c>
      <c r="E34" s="170">
        <f t="shared" si="4"/>
        <v>734251.4147979849</v>
      </c>
      <c r="F34" s="170">
        <f t="shared" si="4"/>
        <v>149621.5561220981</v>
      </c>
    </row>
    <row r="35" spans="1:6" ht="14.25">
      <c r="A35" s="187" t="s">
        <v>341</v>
      </c>
      <c r="B35" s="188"/>
      <c r="C35" s="192">
        <f aca="true" t="shared" si="5" ref="C35:F36">CEILING($A$40/C33,1)</f>
        <v>1</v>
      </c>
      <c r="D35" s="192">
        <f t="shared" si="5"/>
        <v>1</v>
      </c>
      <c r="E35" s="192">
        <f t="shared" si="5"/>
        <v>1</v>
      </c>
      <c r="F35" s="192">
        <f t="shared" si="5"/>
        <v>1</v>
      </c>
    </row>
    <row r="36" spans="1:6" ht="14.25">
      <c r="A36" s="189" t="s">
        <v>342</v>
      </c>
      <c r="B36" s="190"/>
      <c r="C36" s="191">
        <f t="shared" si="5"/>
        <v>34</v>
      </c>
      <c r="D36" s="191">
        <f t="shared" si="5"/>
        <v>17</v>
      </c>
      <c r="E36" s="191">
        <f t="shared" si="5"/>
        <v>5</v>
      </c>
      <c r="F36" s="191">
        <f t="shared" si="5"/>
        <v>21</v>
      </c>
    </row>
    <row r="37" ht="14.25">
      <c r="A37" s="173"/>
    </row>
    <row r="38" ht="14.25">
      <c r="B38" s="170"/>
    </row>
    <row r="39" spans="1:2" ht="14.25">
      <c r="A39" s="223" t="s">
        <v>346</v>
      </c>
      <c r="B39" s="170"/>
    </row>
    <row r="40" spans="1:2" ht="14.25">
      <c r="A40" s="224">
        <v>3000000</v>
      </c>
      <c r="B40" s="170"/>
    </row>
    <row r="41" ht="14.25">
      <c r="B41" s="170"/>
    </row>
    <row r="42" spans="1:7" ht="14.25">
      <c r="A42" s="104" t="s">
        <v>339</v>
      </c>
      <c r="B42" s="104">
        <v>0</v>
      </c>
      <c r="C42" s="104">
        <v>1</v>
      </c>
      <c r="D42" s="104">
        <v>2</v>
      </c>
      <c r="E42" s="104">
        <v>3</v>
      </c>
      <c r="F42" s="104">
        <v>4</v>
      </c>
      <c r="G42" s="104">
        <v>5</v>
      </c>
    </row>
    <row r="43" spans="1:7" ht="14.25">
      <c r="A43" s="104" t="s">
        <v>338</v>
      </c>
      <c r="B43" s="104">
        <v>0.05</v>
      </c>
      <c r="C43" s="104">
        <v>0.05</v>
      </c>
      <c r="D43" s="104">
        <v>0.05</v>
      </c>
      <c r="E43" s="104">
        <v>0.05</v>
      </c>
      <c r="F43" s="104">
        <v>0.05</v>
      </c>
      <c r="G43" s="104">
        <v>0.05</v>
      </c>
    </row>
    <row r="44" spans="1:7" ht="14.25">
      <c r="A44" s="104" t="s">
        <v>340</v>
      </c>
      <c r="B44" s="104">
        <f aca="true" t="shared" si="6" ref="B44:G44">CHIINV(B$43,(B$42+1)*2)/2</f>
        <v>2.995732273595707</v>
      </c>
      <c r="C44" s="104">
        <f t="shared" si="6"/>
        <v>4.7438645184944255</v>
      </c>
      <c r="D44" s="104">
        <f t="shared" si="6"/>
        <v>6.295793622036328</v>
      </c>
      <c r="E44" s="104">
        <f t="shared" si="6"/>
        <v>7.753656528151597</v>
      </c>
      <c r="F44" s="104">
        <f t="shared" si="6"/>
        <v>9.153519026904373</v>
      </c>
      <c r="G44" s="104">
        <f t="shared" si="6"/>
        <v>10.513034909050234</v>
      </c>
    </row>
    <row r="46" spans="1:7" ht="14.25">
      <c r="A46" s="230" t="s">
        <v>31</v>
      </c>
      <c r="B46" s="193"/>
      <c r="C46" s="193"/>
      <c r="D46" s="193"/>
      <c r="E46" s="193"/>
      <c r="F46" s="193"/>
      <c r="G46" s="193"/>
    </row>
    <row r="47" spans="1:7" ht="14.25">
      <c r="A47" s="230" t="s">
        <v>30</v>
      </c>
      <c r="B47" s="193"/>
      <c r="C47" s="193"/>
      <c r="D47" s="193"/>
      <c r="E47" s="193"/>
      <c r="F47" s="193"/>
      <c r="G47" s="193"/>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2010-11-15T19:26:09Z</cp:lastPrinted>
  <dcterms:created xsi:type="dcterms:W3CDTF">2006-09-16T00:00:00Z</dcterms:created>
  <dcterms:modified xsi:type="dcterms:W3CDTF">2010-11-15T19:30:43Z</dcterms:modified>
  <cp:category/>
  <cp:version/>
  <cp:contentType/>
  <cp:contentStatus/>
</cp:coreProperties>
</file>